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lma tlao\Desktop\RAFAEL PREFEITURA 2020\LIXO 2019\2020_coleta de residuos solidos\REV. IMPUGNAÇÃO 04_12_2020 ONZEURB\"/>
    </mc:Choice>
  </mc:AlternateContent>
  <bookViews>
    <workbookView xWindow="0" yWindow="0" windowWidth="24000" windowHeight="973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Domiciliar'!$A$1:$F$283</definedName>
    <definedName name="_xlnm.Print_Area" localSheetId="1">'2.Encargos Sociais'!$A$1:$C$39</definedName>
    <definedName name="_xlnm.Print_Titles" localSheetId="0">'1. Coleta Domiciliar'!#REF!</definedName>
  </definedNames>
  <calcPr calcId="152511"/>
</workbook>
</file>

<file path=xl/calcChain.xml><?xml version="1.0" encoding="utf-8"?>
<calcChain xmlns="http://schemas.openxmlformats.org/spreadsheetml/2006/main">
  <c r="D48" i="2" l="1"/>
  <c r="C21" i="9" l="1"/>
  <c r="C27" i="5" l="1"/>
  <c r="C194" i="2" l="1"/>
  <c r="C193" i="2"/>
  <c r="C195" i="2"/>
  <c r="A25" i="2" l="1"/>
  <c r="A24" i="2"/>
  <c r="A23" i="2"/>
  <c r="A15" i="2"/>
  <c r="A14" i="2"/>
  <c r="A6" i="2"/>
  <c r="C13" i="9" l="1"/>
  <c r="C14" i="9" s="1"/>
  <c r="C15" i="9" l="1"/>
  <c r="C17" i="9"/>
  <c r="C22" i="9" s="1"/>
  <c r="C24" i="9" s="1"/>
  <c r="C164" i="2"/>
  <c r="C169" i="2"/>
  <c r="E34" i="2" l="1"/>
  <c r="E33" i="2"/>
  <c r="E32" i="2"/>
  <c r="E31" i="2"/>
  <c r="E38" i="2"/>
  <c r="C188" i="2" l="1"/>
  <c r="C183" i="2"/>
  <c r="D213" i="2"/>
  <c r="D211" i="2"/>
  <c r="D209" i="2"/>
  <c r="D207" i="2"/>
  <c r="D143" i="2" l="1"/>
  <c r="E143" i="2" s="1"/>
  <c r="E127" i="2"/>
  <c r="E128" i="2"/>
  <c r="E129" i="2"/>
  <c r="E130" i="2"/>
  <c r="E131" i="2"/>
  <c r="E132" i="2"/>
  <c r="E133" i="2"/>
  <c r="E134" i="2"/>
  <c r="E135" i="2"/>
  <c r="E126" i="2"/>
  <c r="D49" i="2" l="1"/>
  <c r="E49" i="2" s="1"/>
  <c r="E48" i="2"/>
  <c r="D74" i="2"/>
  <c r="E74" i="2" s="1"/>
  <c r="D50" i="2" l="1"/>
  <c r="E50" i="2" s="1"/>
  <c r="D75" i="2"/>
  <c r="E75" i="2" s="1"/>
  <c r="D76" i="2" s="1"/>
  <c r="E76" i="2" s="1"/>
  <c r="C228" i="2" l="1"/>
  <c r="D88" i="2"/>
  <c r="A22" i="2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C20" i="8"/>
  <c r="E253" i="2"/>
  <c r="E197" i="2"/>
  <c r="E189" i="2"/>
  <c r="E173" i="2"/>
  <c r="E151" i="2"/>
  <c r="E138" i="2"/>
  <c r="E117" i="2"/>
  <c r="E97" i="2"/>
  <c r="E83" i="2"/>
  <c r="E68" i="2"/>
  <c r="E56" i="2"/>
  <c r="D177" i="2"/>
  <c r="C15" i="4"/>
  <c r="C20" i="4" s="1"/>
  <c r="C262" i="2" s="1"/>
  <c r="F13" i="4"/>
  <c r="E13" i="4"/>
  <c r="D13" i="4"/>
  <c r="C17" i="8"/>
  <c r="C29" i="5"/>
  <c r="C92" i="2"/>
  <c r="C90" i="2"/>
  <c r="D87" i="2"/>
  <c r="E72" i="2"/>
  <c r="D104" i="2" s="1"/>
  <c r="C104" i="2"/>
  <c r="C226" i="2"/>
  <c r="E226" i="2" s="1"/>
  <c r="C205" i="2"/>
  <c r="C207" i="2" s="1"/>
  <c r="E207" i="2" s="1"/>
  <c r="D205" i="2"/>
  <c r="D214" i="2" s="1"/>
  <c r="E161" i="2"/>
  <c r="D182" i="2"/>
  <c r="C170" i="2"/>
  <c r="C165" i="2"/>
  <c r="C62" i="2"/>
  <c r="D60" i="2"/>
  <c r="C249" i="2"/>
  <c r="C251" i="2" s="1"/>
  <c r="E251" i="2" s="1"/>
  <c r="D252" i="2" s="1"/>
  <c r="E252" i="2" s="1"/>
  <c r="C166" i="2"/>
  <c r="C182" i="2" s="1"/>
  <c r="C103" i="2"/>
  <c r="A31" i="2"/>
  <c r="A32" i="2"/>
  <c r="A33" i="2"/>
  <c r="A34" i="2"/>
  <c r="A38" i="2"/>
  <c r="E47" i="2"/>
  <c r="D103" i="2" s="1"/>
  <c r="C63" i="2"/>
  <c r="A109" i="2"/>
  <c r="A115" i="2" s="1"/>
  <c r="A110" i="2"/>
  <c r="A116" i="2" s="1"/>
  <c r="E136" i="2"/>
  <c r="D144" i="2"/>
  <c r="E144" i="2" s="1"/>
  <c r="D145" i="2"/>
  <c r="E145" i="2" s="1"/>
  <c r="D146" i="2"/>
  <c r="E146" i="2" s="1"/>
  <c r="D147" i="2"/>
  <c r="E147" i="2" s="1"/>
  <c r="D148" i="2"/>
  <c r="E148" i="2" s="1"/>
  <c r="E149" i="2"/>
  <c r="E224" i="2"/>
  <c r="E195" i="2"/>
  <c r="E194" i="2"/>
  <c r="E237" i="2"/>
  <c r="E240" i="2"/>
  <c r="E241" i="2"/>
  <c r="E238" i="2"/>
  <c r="E239" i="2"/>
  <c r="D78" i="2" l="1"/>
  <c r="E78" i="2" s="1"/>
  <c r="E79" i="2" s="1"/>
  <c r="C31" i="5"/>
  <c r="C32" i="5" s="1"/>
  <c r="C30" i="5"/>
  <c r="C31" i="8" s="1"/>
  <c r="D164" i="2"/>
  <c r="E164" i="2" s="1"/>
  <c r="D193" i="2"/>
  <c r="E87" i="2"/>
  <c r="D90" i="2"/>
  <c r="E90" i="2" s="1"/>
  <c r="C211" i="2"/>
  <c r="E211" i="2" s="1"/>
  <c r="D62" i="2"/>
  <c r="E62" i="2" s="1"/>
  <c r="C213" i="2"/>
  <c r="E213" i="2" s="1"/>
  <c r="F242" i="2"/>
  <c r="F244" i="2" s="1"/>
  <c r="E23" i="2" s="1"/>
  <c r="C110" i="2"/>
  <c r="E110" i="2" s="1"/>
  <c r="E205" i="2"/>
  <c r="E60" i="2"/>
  <c r="E166" i="2"/>
  <c r="C184" i="2" s="1"/>
  <c r="D137" i="2"/>
  <c r="C109" i="2"/>
  <c r="E109" i="2" s="1"/>
  <c r="C137" i="2"/>
  <c r="E35" i="2"/>
  <c r="C115" i="2"/>
  <c r="E115" i="2" s="1"/>
  <c r="E103" i="2"/>
  <c r="E182" i="2"/>
  <c r="C116" i="2"/>
  <c r="E116" i="2" s="1"/>
  <c r="D51" i="2"/>
  <c r="E51" i="2" s="1"/>
  <c r="E52" i="2" s="1"/>
  <c r="D53" i="2" s="1"/>
  <c r="C150" i="2"/>
  <c r="C209" i="2"/>
  <c r="E209" i="2" s="1"/>
  <c r="C219" i="2"/>
  <c r="E219" i="2" s="1"/>
  <c r="F220" i="2" s="1"/>
  <c r="E21" i="2" s="1"/>
  <c r="E249" i="2"/>
  <c r="D250" i="2" s="1"/>
  <c r="E250" i="2" s="1"/>
  <c r="F253" i="2" s="1"/>
  <c r="F255" i="2" s="1"/>
  <c r="E24" i="2" s="1"/>
  <c r="E177" i="2"/>
  <c r="D227" i="2"/>
  <c r="E227" i="2" s="1"/>
  <c r="D228" i="2" s="1"/>
  <c r="E228" i="2" s="1"/>
  <c r="F229" i="2" s="1"/>
  <c r="E22" i="2" s="1"/>
  <c r="E104" i="2"/>
  <c r="D150" i="2"/>
  <c r="C30" i="8" l="1"/>
  <c r="C37" i="5"/>
  <c r="C27" i="8" s="1"/>
  <c r="C35" i="8" s="1"/>
  <c r="D165" i="2"/>
  <c r="E165" i="2" s="1"/>
  <c r="E193" i="2"/>
  <c r="D196" i="2" s="1"/>
  <c r="E196" i="2" s="1"/>
  <c r="F197" i="2" s="1"/>
  <c r="E19" i="2" s="1"/>
  <c r="C179" i="2"/>
  <c r="C180" i="2" s="1"/>
  <c r="D181" i="2" s="1"/>
  <c r="E181" i="2" s="1"/>
  <c r="C28" i="8"/>
  <c r="C19" i="8" s="1"/>
  <c r="C25" i="8" s="1"/>
  <c r="C34" i="8" s="1"/>
  <c r="D63" i="2"/>
  <c r="E63" i="2" s="1"/>
  <c r="D92" i="2"/>
  <c r="E92" i="2" s="1"/>
  <c r="F111" i="2"/>
  <c r="E12" i="2" s="1"/>
  <c r="F117" i="2"/>
  <c r="E13" i="2" s="1"/>
  <c r="E150" i="2"/>
  <c r="F151" i="2" s="1"/>
  <c r="E137" i="2"/>
  <c r="F138" i="2" s="1"/>
  <c r="D169" i="2"/>
  <c r="E169" i="2" s="1"/>
  <c r="D170" i="2" s="1"/>
  <c r="E170" i="2" s="1"/>
  <c r="F105" i="2"/>
  <c r="E11" i="2" s="1"/>
  <c r="F215" i="2"/>
  <c r="E20" i="2" s="1"/>
  <c r="D80" i="2"/>
  <c r="C29" i="8" l="1"/>
  <c r="C32" i="8" s="1"/>
  <c r="C36" i="8"/>
  <c r="E171" i="2"/>
  <c r="D172" i="2" s="1"/>
  <c r="E172" i="2" s="1"/>
  <c r="F173" i="2" s="1"/>
  <c r="E17" i="2" s="1"/>
  <c r="C185" i="2"/>
  <c r="D186" i="2" s="1"/>
  <c r="E186" i="2" s="1"/>
  <c r="E187" i="2" s="1"/>
  <c r="D188" i="2" s="1"/>
  <c r="E188" i="2" s="1"/>
  <c r="F189" i="2" s="1"/>
  <c r="F153" i="2"/>
  <c r="E14" i="2" s="1"/>
  <c r="E93" i="2"/>
  <c r="D94" i="2" s="1"/>
  <c r="E64" i="2"/>
  <c r="C37" i="8" l="1"/>
  <c r="C80" i="2" s="1"/>
  <c r="E18" i="2"/>
  <c r="E16" i="2" s="1"/>
  <c r="F232" i="2"/>
  <c r="E15" i="2" s="1"/>
  <c r="D65" i="2"/>
  <c r="C65" i="2" l="1"/>
  <c r="E65" i="2" s="1"/>
  <c r="E66" i="2" s="1"/>
  <c r="D67" i="2" s="1"/>
  <c r="E67" i="2" s="1"/>
  <c r="F68" i="2" s="1"/>
  <c r="E8" i="2" s="1"/>
  <c r="C53" i="2"/>
  <c r="E53" i="2" s="1"/>
  <c r="E54" i="2" s="1"/>
  <c r="D55" i="2" s="1"/>
  <c r="E55" i="2" s="1"/>
  <c r="F56" i="2" s="1"/>
  <c r="E7" i="2" s="1"/>
  <c r="C94" i="2"/>
  <c r="E94" i="2" s="1"/>
  <c r="E95" i="2" s="1"/>
  <c r="D96" i="2" s="1"/>
  <c r="E96" i="2" s="1"/>
  <c r="F97" i="2" s="1"/>
  <c r="E10" i="2" s="1"/>
  <c r="E80" i="2"/>
  <c r="E81" i="2" s="1"/>
  <c r="D82" i="2" s="1"/>
  <c r="E82" i="2" s="1"/>
  <c r="F83" i="2" s="1"/>
  <c r="E9" i="2" s="1"/>
  <c r="F119" i="2" l="1"/>
  <c r="F257" i="2" s="1"/>
  <c r="E6" i="2" l="1"/>
  <c r="D262" i="2"/>
  <c r="E262" i="2" s="1"/>
  <c r="F263" i="2" s="1"/>
  <c r="F265" i="2" s="1"/>
  <c r="E25" i="2" s="1"/>
  <c r="E26" i="2" l="1"/>
  <c r="F269" i="2"/>
  <c r="F6" i="2" l="1"/>
  <c r="F24" i="2"/>
  <c r="F8" i="2"/>
  <c r="F14" i="2"/>
  <c r="F7" i="2"/>
  <c r="F13" i="2"/>
  <c r="F10" i="2"/>
  <c r="F15" i="2"/>
  <c r="F22" i="2"/>
  <c r="F21" i="2"/>
  <c r="F9" i="2"/>
  <c r="F16" i="2"/>
  <c r="F17" i="2"/>
  <c r="F18" i="2"/>
  <c r="F12" i="2"/>
  <c r="F19" i="2"/>
  <c r="F11" i="2"/>
  <c r="F23" i="2"/>
  <c r="F20" i="2"/>
  <c r="F25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2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76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8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01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02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04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5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6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6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1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63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95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01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04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04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6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8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10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1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12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1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24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24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25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6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7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7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8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9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6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9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51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<sst xmlns="http://schemas.openxmlformats.org/spreadsheetml/2006/main" count="573" uniqueCount="324">
  <si>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</si>
  <si>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</si>
  <si>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</si>
  <si>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</si>
  <si>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</si>
  <si>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</si>
  <si>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</si>
  <si>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</si>
  <si>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</si>
  <si>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</si>
  <si>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</si>
  <si>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</si>
  <si>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</si>
  <si>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</si>
  <si>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</si>
  <si>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</si>
  <si>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</si>
  <si>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</si>
  <si>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</si>
  <si>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</si>
  <si>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</si>
  <si>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</si>
  <si>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</si>
  <si>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</si>
  <si>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</si>
  <si>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</si>
  <si>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</si>
  <si>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</si>
  <si>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</si>
  <si>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</si>
  <si>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</si>
  <si>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</si>
  <si>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</si>
  <si>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</si>
  <si>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</si>
  <si>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</si>
  <si>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</si>
  <si>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</si>
  <si>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</si>
  <si>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</si>
  <si>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</si>
  <si>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</si>
  <si>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</si>
  <si>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</si>
  <si>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</si>
  <si>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</si>
  <si>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</si>
  <si>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</si>
  <si>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</si>
  <si>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</si>
  <si>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</si>
  <si>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</si>
  <si>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</si>
  <si>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</si>
  <si>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</si>
  <si>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</si>
  <si>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</si>
  <si>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</si>
  <si>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</si>
  <si>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</si>
  <si>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</si>
  <si>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</si>
  <si>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</si>
  <si>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</si>
  <si>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</si>
  <si>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</si>
  <si>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</si>
  <si>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</si>
  <si>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</si>
  <si>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</si>
  <si>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</si>
  <si>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</si>
  <si>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</si>
  <si>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</si>
  <si>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</si>
  <si>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</si>
  <si>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</si>
  <si>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</si>
  <si>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</si>
  <si>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</si>
  <si>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</si>
  <si>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</si>
  <si>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</si>
  <si>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</si>
  <si>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</si>
  <si>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</si>
  <si>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</si>
  <si>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</si>
  <si>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</si>
  <si>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</si>
  <si>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</si>
  <si>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</si>
  <si>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</si>
  <si>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</si>
  <si>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</si>
  <si>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</si>
  <si>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</si>
  <si>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</si>
  <si>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</si>
  <si>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</si>
  <si>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</si>
  <si>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</si>
  <si>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</si>
  <si>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</si>
  <si>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</si>
  <si>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</si>
  <si>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</si>
  <si>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</si>
  <si>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</si>
  <si>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</si>
  <si>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</si>
  <si>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</si>
  <si>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</si>
  <si>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</si>
  <si>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</si>
  <si>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</si>
  <si>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</si>
  <si>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</si>
  <si>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</si>
  <si>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</si>
  <si>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</si>
  <si>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</si>
  <si>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</si>
  <si>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</si>
  <si>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</si>
  <si>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</si>
  <si>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</si>
  <si>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</si>
  <si>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</si>
  <si>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</si>
  <si>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</si>
  <si>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</si>
  <si>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</si>
  <si>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</si>
  <si>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</si>
  <si>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</si>
  <si>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</si>
  <si>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</si>
  <si>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</si>
  <si>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</si>
  <si>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</si>
  <si>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</si>
  <si>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</si>
  <si>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</si>
  <si>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</si>
  <si>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</si>
  <si>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</si>
  <si>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</si>
  <si>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</si>
  <si>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</si>
  <si>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</si>
  <si>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</si>
  <si>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</si>
  <si>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</si>
  <si>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</si>
  <si>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</si>
  <si>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</si>
  <si>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</si>
  <si>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</si>
  <si>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</si>
  <si>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</si>
  <si>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</si>
  <si>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</si>
  <si>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</si>
  <si>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</si>
  <si>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</si>
  <si>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</si>
  <si>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</si>
  <si>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</si>
  <si>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</si>
  <si>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</si>
  <si>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</si>
  <si>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</si>
  <si>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</si>
  <si>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</si>
  <si>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</si>
  <si>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</si>
  <si>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</si>
  <si>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</si>
  <si>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</si>
  <si>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</si>
  <si>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</si>
  <si>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</si>
  <si>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</si>
  <si>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</si>
  <si>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</si>
  <si>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</si>
  <si>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</si>
  <si>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</si>
  <si>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</si>
  <si>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</si>
  <si>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</si>
  <si>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</si>
  <si>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</si>
  <si>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</si>
  <si>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</si>
  <si>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</si>
  <si>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</si>
  <si>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</si>
  <si>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</si>
  <si>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</si>
  <si>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</si>
  <si>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</si>
  <si>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</si>
  <si>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</si>
  <si>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</si>
  <si>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</si>
  <si>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</si>
  <si>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</si>
  <si>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</si>
  <si>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</si>
  <si>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</si>
  <si>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</si>
  <si>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</si>
  <si>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</si>
  <si>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</si>
  <si>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</si>
  <si>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</si>
  <si>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</si>
  <si>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</si>
  <si>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</si>
  <si>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</si>
  <si>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</si>
  <si>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</si>
  <si>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</si>
  <si>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</si>
  <si>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</si>
  <si>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</si>
  <si>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</si>
  <si>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</si>
  <si>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</si>
  <si>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</si>
  <si>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</si>
  <si>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</si>
  <si>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</si>
  <si>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</si>
  <si>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</si>
  <si>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</si>
  <si>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</si>
  <si>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</si>
  <si>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</si>
  <si>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</si>
  <si>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</si>
  <si>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</si>
  <si>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</si>
  <si>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</si>
  <si>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</si>
  <si>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</si>
  <si>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</si>
  <si>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</si>
  <si>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</si>
  <si>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</si>
  <si>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</si>
  <si>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</si>
  <si>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</si>
  <si>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</si>
  <si>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</si>
  <si>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</si>
  <si>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</si>
  <si>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</si>
  <si>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</si>
  <si>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</si>
  <si>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</si>
  <si>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</si>
  <si>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</si>
  <si>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</si>
  <si>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</si>
  <si>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</si>
  <si>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</si>
  <si>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</si>
  <si>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</si>
  <si>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</si>
  <si>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</si>
  <si>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</si>
  <si>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</si>
  <si>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</si>
  <si>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</si>
  <si>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</si>
  <si>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</si>
  <si>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</si>
  <si>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</si>
  <si>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</si>
  <si>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</si>
  <si>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</si>
  <si>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</si>
  <si>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</si>
  <si>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</si>
  <si>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</si>
  <si>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</si>
  <si>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</si>
  <si>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</si>
  <si>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</si>
  <si>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</si>
  <si>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</si>
  <si>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</si>
  <si>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</si>
  <si>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</si>
  <si>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</si>
  <si>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</si>
  <si>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</si>
  <si>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</si>
  <si>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</si>
  <si>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</si>
  <si>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</si>
  <si>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</si>
  <si>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</si>
  <si>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</si>
  <si>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,</t>
  </si>
  <si>
    <t>Custo do jogo de pneus 275/80 R22,5</t>
  </si>
  <si>
    <t>Estoque recuperado início do Período 01-06-2018</t>
  </si>
  <si>
    <t>Estoque recuperado final do Período 30-06-2019</t>
  </si>
  <si>
    <t>Observações importantes:</t>
  </si>
  <si>
    <t>1) O valor do salário mensal é o definido pelo básico da categoria, conforme Convenções Coletivas dos respectivos sindicatos;</t>
  </si>
  <si>
    <t>2) Alimentação e refeição, bem como as obrigações trabalhistas dos coletores e motoristas foram determinadas de acordo com as disposições das Convenções Coletivas vigentes;</t>
  </si>
  <si>
    <t>3) Para os coletores foi observada a Convenção Coletiva 2020/2020 do Sindicato Intermunicipal dos Empregados em Empresas de Asseio e Conservação e Serviços Terceirizados em Asseio e Conservação no RGS; e para o motorista foi observada a Convenção Coletiva 2019/2021 do Sindicato dos Empregados em Empresa de Transporte Rodoviário de Carga Seca do RS ;</t>
  </si>
  <si>
    <t>4) Estão sendo consideradas 8 (oito) horas de trabalho diárias, para coletores e motorista, sendo que já estão inclusas horas de coleta e transporte.</t>
  </si>
  <si>
    <t>5) A composição de encargos sociais segue os modelos do Tribunal de Contas do Estado do RS - observar e realizar na planilha o preenchimento da "aba 3.CAGED";</t>
  </si>
  <si>
    <t>6) No valor correspondente ao Custo de Manutenção - item 3.1.5 - já está incluso o custo de lavagens do veículo;</t>
  </si>
  <si>
    <t>7) O veículo que está sendo considerado para referência é veículo zero quilômetro. O valor considerado para o caminhão foi obtido na tabela FIPE, para o veículo Mercedes-Benz, modelo Atego 2426. O valor do coletor é a média do valor praticado por empresas do ramo.</t>
  </si>
  <si>
    <t>8) O veículo e o compactador que realizará os serviços deverá ter capacidade mínima de 19m3 e ano de fabricação não superior a 5 (cinco) anos (máximo 10 anos em todo o período do contrato). A licitante deverá informar para o cálculo da depreciação a idade do veículo, marca e modelo (para conferência) e taxa de depreciação correspondente.</t>
  </si>
  <si>
    <t>9) Para o cálculo do BDI observar as referências mínimas e máximas constantes na "aba 4.BDI" da planilha de custos.</t>
  </si>
  <si>
    <t>10) As alíquotas utilizadas para ISS, PIS e COFINS, na planilha base, correspondem a uma empresa com tributação pelo lucro presumido. Cada licitante deverá utilizar as alíquotas de acordo com sua tributação, observada as orientações constantes do Edital.</t>
  </si>
  <si>
    <t>São Francisco de Assis, 18 de dezembro de 2020.</t>
  </si>
  <si>
    <t>11) O valor do óleo diesel S10, foi extraido da Agência Nacional do Petróleo, Gás Natiral e Bio combustivel - ANP, período de 29/11/2020 a 05/12/2020.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</si>
</sst>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5" fontId="0" fillId="0" borderId="8" xfId="3" applyFont="1" applyBorder="1" applyAlignment="1">
      <alignment vertical="center"/>
    </xf>
    <xf numFmtId="165" fontId="3" fillId="0" borderId="11" xfId="3" applyFont="1" applyBorder="1" applyAlignment="1">
      <alignment horizontal="right" vertical="center"/>
    </xf>
    <xf numFmtId="165" fontId="0" fillId="0" borderId="12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13" fillId="2" borderId="16" xfId="3" applyFont="1" applyFill="1" applyBorder="1" applyAlignment="1">
      <alignment horizontal="center" vertical="center"/>
    </xf>
    <xf numFmtId="165" fontId="3" fillId="0" borderId="17" xfId="3" applyFont="1" applyBorder="1" applyAlignment="1">
      <alignment horizontal="center" vertical="center"/>
    </xf>
    <xf numFmtId="165" fontId="1" fillId="0" borderId="12" xfId="3" applyFont="1" applyBorder="1" applyAlignment="1">
      <alignment horizontal="left" vertical="center"/>
    </xf>
    <xf numFmtId="165" fontId="6" fillId="0" borderId="8" xfId="3" applyFont="1" applyBorder="1" applyAlignment="1">
      <alignment vertical="center"/>
    </xf>
    <xf numFmtId="165" fontId="6" fillId="0" borderId="12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5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5" fontId="6" fillId="0" borderId="17" xfId="3" applyFont="1" applyBorder="1" applyAlignment="1">
      <alignment vertical="center"/>
    </xf>
    <xf numFmtId="165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5" fontId="13" fillId="2" borderId="31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5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2" xfId="3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5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7" xfId="3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3" fillId="0" borderId="9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5" fontId="3" fillId="0" borderId="52" xfId="3" applyFont="1" applyBorder="1" applyAlignment="1">
      <alignment horizontal="center" vertical="center"/>
    </xf>
    <xf numFmtId="165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18" xfId="3" applyNumberFormat="1" applyFont="1" applyBorder="1" applyAlignment="1">
      <alignment horizontal="center" vertical="center" wrapText="1"/>
    </xf>
    <xf numFmtId="171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1" fontId="5" fillId="3" borderId="18" xfId="0" applyNumberFormat="1" applyFont="1" applyFill="1" applyBorder="1"/>
    <xf numFmtId="171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2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4" fontId="31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0" fillId="0" borderId="0" xfId="0" applyFont="1"/>
    <xf numFmtId="0" fontId="1" fillId="0" borderId="2" xfId="0" applyFont="1" applyBorder="1" applyAlignment="1">
      <alignment vertical="center"/>
    </xf>
    <xf numFmtId="169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5" fontId="1" fillId="0" borderId="1" xfId="3" applyFont="1" applyBorder="1" applyAlignment="1">
      <alignment horizontal="center" vertical="center"/>
    </xf>
    <xf numFmtId="168" fontId="3" fillId="0" borderId="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165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1"/>
  <sheetViews>
    <sheetView tabSelected="1" view="pageBreakPreview" zoomScaleNormal="100" zoomScaleSheetLayoutView="100" workbookViewId="0">
      <selection activeCell="K278" sqref="K278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2.140625" style="9" bestFit="1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 x14ac:dyDescent="0.2">
      <c r="A1" s="311" t="s">
        <v>229</v>
      </c>
      <c r="B1" s="312"/>
      <c r="C1" s="312"/>
      <c r="D1" s="312"/>
      <c r="E1" s="312"/>
      <c r="F1" s="313"/>
      <c r="G1" s="36"/>
    </row>
    <row r="2" spans="1:7" s="8" customFormat="1" ht="21.75" customHeight="1" x14ac:dyDescent="0.2">
      <c r="A2" s="314" t="s">
        <v>43</v>
      </c>
      <c r="B2" s="315"/>
      <c r="C2" s="315"/>
      <c r="D2" s="315"/>
      <c r="E2" s="315"/>
      <c r="F2" s="316"/>
      <c r="G2" s="36"/>
    </row>
    <row r="3" spans="1:7" s="4" customFormat="1" ht="10.9" customHeight="1" thickBot="1" x14ac:dyDescent="0.25">
      <c r="A3" s="150"/>
      <c r="B3" s="151"/>
      <c r="C3" s="151"/>
      <c r="D3" s="152"/>
      <c r="E3" s="152"/>
      <c r="F3" s="153"/>
      <c r="G3" s="6"/>
    </row>
    <row r="4" spans="1:7" s="4" customFormat="1" ht="15.75" customHeight="1" thickBot="1" x14ac:dyDescent="0.25">
      <c r="A4" s="320" t="s">
        <v>208</v>
      </c>
      <c r="B4" s="321"/>
      <c r="C4" s="321"/>
      <c r="D4" s="321"/>
      <c r="E4" s="321"/>
      <c r="F4" s="322"/>
      <c r="G4" s="6"/>
    </row>
    <row r="5" spans="1:7" s="4" customFormat="1" ht="15.75" customHeight="1" x14ac:dyDescent="0.2">
      <c r="A5" s="63" t="s">
        <v>207</v>
      </c>
      <c r="B5" s="39"/>
      <c r="C5" s="39"/>
      <c r="D5" s="253"/>
      <c r="E5" s="115" t="s">
        <v>38</v>
      </c>
      <c r="F5" s="40" t="s">
        <v>2</v>
      </c>
      <c r="G5" s="6"/>
    </row>
    <row r="6" spans="1:7" s="11" customFormat="1" ht="15.75" customHeight="1" x14ac:dyDescent="0.2">
      <c r="A6" s="125" t="str">
        <f>A43</f>
        <v>1. Mão-de-obra</v>
      </c>
      <c r="B6" s="126"/>
      <c r="C6" s="127"/>
      <c r="D6" s="127"/>
      <c r="E6" s="251">
        <f>+F119</f>
        <v>26641.166159571236</v>
      </c>
      <c r="F6" s="128">
        <f t="shared" ref="F6:F25" si="0">IFERROR(E6/$E$26,0)</f>
        <v>0.32590364149101758</v>
      </c>
      <c r="G6" s="43"/>
    </row>
    <row r="7" spans="1:7" s="4" customFormat="1" ht="15.75" customHeight="1" x14ac:dyDescent="0.2">
      <c r="A7" s="48" t="str">
        <f>A45</f>
        <v>1.1. Coletor Turno Dia</v>
      </c>
      <c r="B7" s="44"/>
      <c r="C7" s="46"/>
      <c r="D7" s="46"/>
      <c r="E7" s="252">
        <f>F56</f>
        <v>14190.3812218325</v>
      </c>
      <c r="F7" s="57">
        <f t="shared" si="0"/>
        <v>0.17359213506798674</v>
      </c>
      <c r="G7" s="6"/>
    </row>
    <row r="8" spans="1:7" s="4" customFormat="1" ht="15.75" customHeight="1" x14ac:dyDescent="0.2">
      <c r="A8" s="48" t="str">
        <f>A58</f>
        <v>1.2. Coletor Turno Noite</v>
      </c>
      <c r="B8" s="44"/>
      <c r="C8" s="46"/>
      <c r="D8" s="46"/>
      <c r="E8" s="252">
        <f>F68</f>
        <v>0</v>
      </c>
      <c r="F8" s="57">
        <f t="shared" si="0"/>
        <v>0</v>
      </c>
      <c r="G8" s="6"/>
    </row>
    <row r="9" spans="1:7" s="4" customFormat="1" ht="15.75" customHeight="1" x14ac:dyDescent="0.2">
      <c r="A9" s="48" t="str">
        <f>A70</f>
        <v>1.3. Motorista Turno do Dia</v>
      </c>
      <c r="B9" s="44"/>
      <c r="C9" s="46"/>
      <c r="D9" s="46"/>
      <c r="E9" s="252">
        <f>F83</f>
        <v>9623.5317377387382</v>
      </c>
      <c r="F9" s="57">
        <f t="shared" si="0"/>
        <v>0.11772547862761845</v>
      </c>
      <c r="G9" s="6"/>
    </row>
    <row r="10" spans="1:7" s="4" customFormat="1" ht="15.75" customHeight="1" x14ac:dyDescent="0.2">
      <c r="A10" s="48" t="str">
        <f>A85</f>
        <v>1.4. Motorista Turno Noite</v>
      </c>
      <c r="B10" s="44"/>
      <c r="C10" s="46"/>
      <c r="D10" s="46"/>
      <c r="E10" s="252">
        <f>F97</f>
        <v>0</v>
      </c>
      <c r="F10" s="57">
        <f t="shared" si="0"/>
        <v>0</v>
      </c>
      <c r="G10" s="6"/>
    </row>
    <row r="11" spans="1:7" s="4" customFormat="1" ht="15.75" customHeight="1" x14ac:dyDescent="0.2">
      <c r="A11" s="48" t="str">
        <f>A99</f>
        <v>1.5. Vale Transporte</v>
      </c>
      <c r="B11" s="44"/>
      <c r="C11" s="46"/>
      <c r="D11" s="46"/>
      <c r="E11" s="252">
        <f>F105</f>
        <v>556.03319999999997</v>
      </c>
      <c r="F11" s="57">
        <f t="shared" si="0"/>
        <v>6.8020012181336034E-3</v>
      </c>
      <c r="G11" s="6"/>
    </row>
    <row r="12" spans="1:7" s="4" customFormat="1" ht="15.75" customHeight="1" x14ac:dyDescent="0.2">
      <c r="A12" s="48" t="str">
        <f>A107</f>
        <v>1.6. Vale-refeição (diário)</v>
      </c>
      <c r="B12" s="44"/>
      <c r="C12" s="46"/>
      <c r="D12" s="46"/>
      <c r="E12" s="252">
        <f>F111</f>
        <v>2089.3599999999997</v>
      </c>
      <c r="F12" s="57">
        <f t="shared" si="0"/>
        <v>2.555931779814519E-2</v>
      </c>
      <c r="G12" s="6"/>
    </row>
    <row r="13" spans="1:7" s="4" customFormat="1" ht="15.75" customHeight="1" x14ac:dyDescent="0.2">
      <c r="A13" s="48" t="str">
        <f>A113</f>
        <v>1.7. Auxílio Alimentação (mensal)</v>
      </c>
      <c r="B13" s="44"/>
      <c r="C13" s="46"/>
      <c r="D13" s="46"/>
      <c r="E13" s="252">
        <f>F117</f>
        <v>181.86</v>
      </c>
      <c r="F13" s="57">
        <f t="shared" si="0"/>
        <v>2.224708779133651E-3</v>
      </c>
      <c r="G13" s="6"/>
    </row>
    <row r="14" spans="1:7" s="11" customFormat="1" ht="15.75" customHeight="1" x14ac:dyDescent="0.2">
      <c r="A14" s="309" t="str">
        <f>A121</f>
        <v>2. Uniformes e Equipamentos de Proteção Individual</v>
      </c>
      <c r="B14" s="310"/>
      <c r="C14" s="310"/>
      <c r="D14" s="127"/>
      <c r="E14" s="251">
        <f>+F153</f>
        <v>2020.8166666666666</v>
      </c>
      <c r="F14" s="128">
        <f t="shared" si="0"/>
        <v>2.4720821397519705E-2</v>
      </c>
      <c r="G14" s="43"/>
    </row>
    <row r="15" spans="1:7" s="11" customFormat="1" ht="15.75" customHeight="1" x14ac:dyDescent="0.2">
      <c r="A15" s="136" t="str">
        <f>A155</f>
        <v>3. Veículos e Equipamentos</v>
      </c>
      <c r="B15" s="137"/>
      <c r="C15" s="127"/>
      <c r="D15" s="127"/>
      <c r="E15" s="251">
        <f>+F232</f>
        <v>35067.261932000001</v>
      </c>
      <c r="F15" s="128">
        <f t="shared" si="0"/>
        <v>0.42898078456119915</v>
      </c>
      <c r="G15" s="43"/>
    </row>
    <row r="16" spans="1:7" s="4" customFormat="1" ht="15.75" customHeight="1" x14ac:dyDescent="0.2">
      <c r="A16" s="64" t="str">
        <f>A157</f>
        <v>3.1. Veículo Coletor Compactador 19 m³</v>
      </c>
      <c r="B16" s="45"/>
      <c r="C16" s="46"/>
      <c r="D16" s="46"/>
      <c r="E16" s="252">
        <f>SUM(E17:E22)</f>
        <v>35067.261932000001</v>
      </c>
      <c r="F16" s="143">
        <f t="shared" si="0"/>
        <v>0.42898078456119915</v>
      </c>
      <c r="G16" s="6"/>
    </row>
    <row r="17" spans="1:7" s="4" customFormat="1" ht="15.75" customHeight="1" x14ac:dyDescent="0.2">
      <c r="A17" s="64" t="str">
        <f>A159</f>
        <v>3.1.1. Depreciação</v>
      </c>
      <c r="B17" s="45"/>
      <c r="C17" s="46"/>
      <c r="D17" s="46"/>
      <c r="E17" s="252">
        <f>F173</f>
        <v>4440.4799999999987</v>
      </c>
      <c r="F17" s="143">
        <f t="shared" si="0"/>
        <v>5.432076784101722E-2</v>
      </c>
      <c r="G17" s="6"/>
    </row>
    <row r="18" spans="1:7" s="4" customFormat="1" ht="15.75" customHeight="1" x14ac:dyDescent="0.2">
      <c r="A18" s="64" t="str">
        <f>A175</f>
        <v>3.1.2. Remuneração do Capital</v>
      </c>
      <c r="B18" s="45"/>
      <c r="C18" s="46"/>
      <c r="D18" s="46"/>
      <c r="E18" s="252">
        <f>F189</f>
        <v>588.88676000000009</v>
      </c>
      <c r="F18" s="143">
        <f t="shared" si="0"/>
        <v>7.203901599513755E-3</v>
      </c>
      <c r="G18" s="6"/>
    </row>
    <row r="19" spans="1:7" s="4" customFormat="1" ht="15.75" customHeight="1" x14ac:dyDescent="0.2">
      <c r="A19" s="64" t="str">
        <f>A191</f>
        <v>3.1.3. Impostos e Seguros</v>
      </c>
      <c r="B19" s="45"/>
      <c r="C19" s="46"/>
      <c r="D19" s="46"/>
      <c r="E19" s="252">
        <f>F197</f>
        <v>469.58333333333331</v>
      </c>
      <c r="F19" s="143">
        <f t="shared" si="0"/>
        <v>5.7444526789921383E-3</v>
      </c>
      <c r="G19" s="6"/>
    </row>
    <row r="20" spans="1:7" s="4" customFormat="1" ht="15.75" customHeight="1" x14ac:dyDescent="0.2">
      <c r="A20" s="64" t="str">
        <f>A199</f>
        <v>3.1.4. Consumos</v>
      </c>
      <c r="B20" s="45"/>
      <c r="C20" s="46"/>
      <c r="D20" s="46"/>
      <c r="E20" s="252">
        <f>F215</f>
        <v>15951.481838666668</v>
      </c>
      <c r="F20" s="143">
        <f t="shared" si="0"/>
        <v>0.19513582803625168</v>
      </c>
      <c r="G20" s="6"/>
    </row>
    <row r="21" spans="1:7" s="4" customFormat="1" ht="15.75" customHeight="1" x14ac:dyDescent="0.2">
      <c r="A21" s="64" t="str">
        <f>A217</f>
        <v>3.1.5. Manutenção</v>
      </c>
      <c r="B21" s="45"/>
      <c r="C21" s="46"/>
      <c r="D21" s="46"/>
      <c r="E21" s="252">
        <f>F220</f>
        <v>7196.8</v>
      </c>
      <c r="F21" s="143">
        <f t="shared" si="0"/>
        <v>8.8039063794507086E-2</v>
      </c>
      <c r="G21" s="6"/>
    </row>
    <row r="22" spans="1:7" s="4" customFormat="1" ht="15.75" customHeight="1" x14ac:dyDescent="0.2">
      <c r="A22" s="64" t="str">
        <f>A222</f>
        <v>3.1.6. Pneus</v>
      </c>
      <c r="B22" s="45"/>
      <c r="C22" s="46"/>
      <c r="D22" s="46"/>
      <c r="E22" s="252">
        <f>F229</f>
        <v>6420.03</v>
      </c>
      <c r="F22" s="143">
        <f t="shared" si="0"/>
        <v>7.8536770610917253E-2</v>
      </c>
      <c r="G22" s="6"/>
    </row>
    <row r="23" spans="1:7" s="11" customFormat="1" ht="15.75" customHeight="1" x14ac:dyDescent="0.2">
      <c r="A23" s="136" t="str">
        <f>A234</f>
        <v>4. Ferramentas e Materiais de Consumo</v>
      </c>
      <c r="B23" s="137"/>
      <c r="C23" s="127"/>
      <c r="D23" s="127"/>
      <c r="E23" s="251">
        <f>+F244</f>
        <v>33.333333333333329</v>
      </c>
      <c r="F23" s="128">
        <f t="shared" si="0"/>
        <v>4.0776948919198845E-4</v>
      </c>
      <c r="G23" s="43"/>
    </row>
    <row r="24" spans="1:7" s="11" customFormat="1" ht="15.75" customHeight="1" x14ac:dyDescent="0.2">
      <c r="A24" s="136" t="str">
        <f>A246</f>
        <v>5. Monitoramento da Frota</v>
      </c>
      <c r="B24" s="137"/>
      <c r="C24" s="127"/>
      <c r="D24" s="127"/>
      <c r="E24" s="251">
        <f>+F255</f>
        <v>81.166666666666671</v>
      </c>
      <c r="F24" s="128">
        <f t="shared" si="0"/>
        <v>9.9291870618249201E-4</v>
      </c>
      <c r="G24" s="43"/>
    </row>
    <row r="25" spans="1:7" s="11" customFormat="1" ht="15.75" customHeight="1" thickBot="1" x14ac:dyDescent="0.25">
      <c r="A25" s="136" t="str">
        <f>A259</f>
        <v>6. Benefícios e Despesas Indiretas - BDI</v>
      </c>
      <c r="B25" s="137"/>
      <c r="C25" s="127"/>
      <c r="D25" s="127"/>
      <c r="E25" s="306">
        <f>+F265</f>
        <v>17901.786030209907</v>
      </c>
      <c r="F25" s="128">
        <f t="shared" si="0"/>
        <v>0.21899406435488908</v>
      </c>
      <c r="G25" s="43"/>
    </row>
    <row r="26" spans="1:7" s="4" customFormat="1" ht="15.75" customHeight="1" thickBot="1" x14ac:dyDescent="0.25">
      <c r="A26" s="41" t="s">
        <v>249</v>
      </c>
      <c r="B26" s="42"/>
      <c r="C26" s="26"/>
      <c r="D26" s="26"/>
      <c r="E26" s="114">
        <f>E6+E14+E15+E23+E24+E25</f>
        <v>81745.53078844781</v>
      </c>
      <c r="F26" s="142">
        <f>F6+F14+F15+F23+F24+F25</f>
        <v>0.99999999999999989</v>
      </c>
      <c r="G26" s="6"/>
    </row>
    <row r="28" spans="1:7" ht="13.5" thickBot="1" x14ac:dyDescent="0.25"/>
    <row r="29" spans="1:7" s="4" customFormat="1" ht="15" customHeight="1" thickBot="1" x14ac:dyDescent="0.25">
      <c r="A29" s="320" t="s">
        <v>99</v>
      </c>
      <c r="B29" s="321"/>
      <c r="C29" s="321"/>
      <c r="D29" s="321"/>
      <c r="E29" s="322"/>
      <c r="F29" s="10"/>
      <c r="G29" s="6"/>
    </row>
    <row r="30" spans="1:7" s="4" customFormat="1" ht="15" customHeight="1" thickBot="1" x14ac:dyDescent="0.25">
      <c r="A30" s="317" t="s">
        <v>39</v>
      </c>
      <c r="B30" s="318"/>
      <c r="C30" s="318"/>
      <c r="D30" s="319"/>
      <c r="E30" s="47" t="s">
        <v>40</v>
      </c>
      <c r="F30" s="10"/>
      <c r="G30" s="6"/>
    </row>
    <row r="31" spans="1:7" s="4" customFormat="1" ht="15" customHeight="1" x14ac:dyDescent="0.2">
      <c r="A31" s="72" t="str">
        <f>+A45</f>
        <v>1.1. Coletor Turno Dia</v>
      </c>
      <c r="B31" s="73"/>
      <c r="C31" s="73"/>
      <c r="D31" s="74"/>
      <c r="E31" s="75">
        <f>C55</f>
        <v>4</v>
      </c>
      <c r="F31" s="10"/>
      <c r="G31" s="6"/>
    </row>
    <row r="32" spans="1:7" s="4" customFormat="1" ht="15" customHeight="1" x14ac:dyDescent="0.2">
      <c r="A32" s="66" t="str">
        <f>+A58</f>
        <v>1.2. Coletor Turno Noite</v>
      </c>
      <c r="B32" s="65"/>
      <c r="C32" s="65"/>
      <c r="D32" s="76"/>
      <c r="E32" s="69">
        <f>C67</f>
        <v>0</v>
      </c>
      <c r="F32" s="10"/>
      <c r="G32" s="6"/>
    </row>
    <row r="33" spans="1:7" s="4" customFormat="1" ht="15" customHeight="1" x14ac:dyDescent="0.2">
      <c r="A33" s="66" t="str">
        <f>+A70</f>
        <v>1.3. Motorista Turno do Dia</v>
      </c>
      <c r="B33" s="65"/>
      <c r="C33" s="65"/>
      <c r="D33" s="76"/>
      <c r="E33" s="69">
        <f>C82</f>
        <v>2</v>
      </c>
      <c r="F33" s="10"/>
      <c r="G33" s="6"/>
    </row>
    <row r="34" spans="1:7" s="4" customFormat="1" ht="15" customHeight="1" x14ac:dyDescent="0.2">
      <c r="A34" s="66" t="str">
        <f>+A85</f>
        <v>1.4. Motorista Turno Noite</v>
      </c>
      <c r="B34" s="65"/>
      <c r="C34" s="65"/>
      <c r="D34" s="76"/>
      <c r="E34" s="69">
        <f>C96</f>
        <v>0</v>
      </c>
      <c r="F34" s="10"/>
      <c r="G34" s="6"/>
    </row>
    <row r="35" spans="1:7" s="4" customFormat="1" ht="15" customHeight="1" thickBot="1" x14ac:dyDescent="0.25">
      <c r="A35" s="70" t="s">
        <v>59</v>
      </c>
      <c r="B35" s="71"/>
      <c r="C35" s="71"/>
      <c r="D35" s="77"/>
      <c r="E35" s="78">
        <f>SUM(E31:E34)</f>
        <v>6</v>
      </c>
      <c r="F35" s="10"/>
      <c r="G35" s="6"/>
    </row>
    <row r="36" spans="1:7" s="4" customFormat="1" ht="15" customHeight="1" thickBot="1" x14ac:dyDescent="0.25">
      <c r="A36" s="129"/>
      <c r="B36" s="130"/>
      <c r="C36" s="58"/>
      <c r="D36" s="58"/>
      <c r="E36" s="131"/>
      <c r="F36" s="10"/>
      <c r="G36" s="6"/>
    </row>
    <row r="37" spans="1:7" s="4" customFormat="1" ht="15" customHeight="1" x14ac:dyDescent="0.2">
      <c r="A37" s="307" t="s">
        <v>56</v>
      </c>
      <c r="B37" s="308"/>
      <c r="C37" s="308"/>
      <c r="D37" s="308"/>
      <c r="E37" s="47" t="s">
        <v>40</v>
      </c>
      <c r="F37" s="9"/>
      <c r="G37" s="6"/>
    </row>
    <row r="38" spans="1:7" s="4" customFormat="1" ht="15" customHeight="1" thickBot="1" x14ac:dyDescent="0.25">
      <c r="A38" s="132" t="str">
        <f>+A157</f>
        <v>3.1. Veículo Coletor Compactador 19 m³</v>
      </c>
      <c r="B38" s="133"/>
      <c r="C38" s="133"/>
      <c r="D38" s="134"/>
      <c r="E38" s="135">
        <f>C172</f>
        <v>1</v>
      </c>
      <c r="F38" s="9"/>
      <c r="G38" s="6"/>
    </row>
    <row r="39" spans="1:7" s="4" customFormat="1" ht="15" customHeight="1" x14ac:dyDescent="0.2">
      <c r="A39" s="58"/>
      <c r="B39" s="58"/>
      <c r="C39" s="58"/>
      <c r="D39" s="53"/>
      <c r="E39" s="250"/>
      <c r="F39" s="9"/>
      <c r="G39" s="6"/>
    </row>
    <row r="40" spans="1:7" s="4" customFormat="1" ht="13.5" thickBot="1" x14ac:dyDescent="0.25">
      <c r="A40" s="58"/>
      <c r="B40" s="58"/>
      <c r="C40" s="58"/>
      <c r="D40" s="53"/>
      <c r="E40" s="67"/>
      <c r="F40" s="9"/>
      <c r="G40" s="6"/>
    </row>
    <row r="41" spans="1:7" s="11" customFormat="1" ht="15.75" customHeight="1" thickBot="1" x14ac:dyDescent="0.25">
      <c r="A41" s="254" t="s">
        <v>202</v>
      </c>
      <c r="B41" s="255">
        <v>1</v>
      </c>
      <c r="C41" s="35"/>
      <c r="D41" s="34"/>
      <c r="E41" s="155"/>
      <c r="G41" s="43"/>
    </row>
    <row r="42" spans="1:7" s="4" customFormat="1" ht="15.75" customHeight="1" x14ac:dyDescent="0.2">
      <c r="A42" s="58"/>
      <c r="B42" s="58"/>
      <c r="C42" s="58"/>
      <c r="D42" s="53"/>
      <c r="E42" s="67"/>
      <c r="F42" s="9"/>
      <c r="G42" s="6"/>
    </row>
    <row r="43" spans="1:7" ht="13.15" customHeight="1" x14ac:dyDescent="0.2">
      <c r="A43" s="11" t="s">
        <v>47</v>
      </c>
    </row>
    <row r="44" spans="1:7" ht="11.25" customHeight="1" x14ac:dyDescent="0.2"/>
    <row r="45" spans="1:7" ht="13.9" customHeight="1" thickBot="1" x14ac:dyDescent="0.25">
      <c r="A45" s="9" t="s">
        <v>101</v>
      </c>
    </row>
    <row r="46" spans="1:7" ht="13.9" customHeight="1" thickBot="1" x14ac:dyDescent="0.25">
      <c r="A46" s="59" t="s">
        <v>64</v>
      </c>
      <c r="B46" s="60" t="s">
        <v>65</v>
      </c>
      <c r="C46" s="60" t="s">
        <v>40</v>
      </c>
      <c r="D46" s="61" t="s">
        <v>245</v>
      </c>
      <c r="E46" s="61" t="s">
        <v>66</v>
      </c>
      <c r="F46" s="62" t="s">
        <v>67</v>
      </c>
    </row>
    <row r="47" spans="1:7" ht="13.15" customHeight="1" x14ac:dyDescent="0.2">
      <c r="A47" s="13" t="s">
        <v>223</v>
      </c>
      <c r="B47" s="14" t="s">
        <v>8</v>
      </c>
      <c r="C47" s="14">
        <v>1</v>
      </c>
      <c r="D47" s="86">
        <v>1330.73</v>
      </c>
      <c r="E47" s="15">
        <f>C47*D47</f>
        <v>1330.73</v>
      </c>
    </row>
    <row r="48" spans="1:7" x14ac:dyDescent="0.2">
      <c r="A48" s="16" t="s">
        <v>34</v>
      </c>
      <c r="B48" s="17" t="s">
        <v>0</v>
      </c>
      <c r="C48" s="87">
        <v>8.64</v>
      </c>
      <c r="D48" s="18">
        <f>D47/220*2</f>
        <v>12.097545454545454</v>
      </c>
      <c r="E48" s="18">
        <f>C48*D48</f>
        <v>104.52279272727273</v>
      </c>
      <c r="G48" s="10" t="s">
        <v>261</v>
      </c>
    </row>
    <row r="49" spans="1:7" ht="13.15" customHeight="1" x14ac:dyDescent="0.2">
      <c r="A49" s="16" t="s">
        <v>35</v>
      </c>
      <c r="B49" s="17" t="s">
        <v>0</v>
      </c>
      <c r="C49" s="87">
        <v>0</v>
      </c>
      <c r="D49" s="18">
        <f>D47/220*1.5</f>
        <v>9.0731590909090905</v>
      </c>
      <c r="E49" s="18">
        <f>C49*D49</f>
        <v>0</v>
      </c>
      <c r="G49" s="10" t="s">
        <v>262</v>
      </c>
    </row>
    <row r="50" spans="1:7" ht="13.15" customHeight="1" x14ac:dyDescent="0.2">
      <c r="A50" s="16" t="s">
        <v>226</v>
      </c>
      <c r="B50" s="17" t="s">
        <v>33</v>
      </c>
      <c r="D50" s="18">
        <f>63/302*(SUM(E48:E49))</f>
        <v>21.804423648404576</v>
      </c>
      <c r="E50" s="18">
        <f>D50</f>
        <v>21.804423648404576</v>
      </c>
      <c r="G50" s="10" t="s">
        <v>225</v>
      </c>
    </row>
    <row r="51" spans="1:7" x14ac:dyDescent="0.2">
      <c r="A51" s="16" t="s">
        <v>1</v>
      </c>
      <c r="B51" s="17" t="s">
        <v>2</v>
      </c>
      <c r="C51" s="17">
        <v>40</v>
      </c>
      <c r="D51" s="82">
        <f>SUM(E47:E50)</f>
        <v>1457.0572163756772</v>
      </c>
      <c r="E51" s="18">
        <f>C51*D51/100</f>
        <v>582.82288655027082</v>
      </c>
    </row>
    <row r="52" spans="1:7" x14ac:dyDescent="0.2">
      <c r="A52" s="116" t="s">
        <v>3</v>
      </c>
      <c r="B52" s="117"/>
      <c r="C52" s="117"/>
      <c r="D52" s="118"/>
      <c r="E52" s="119">
        <f>SUM(E47:E51)</f>
        <v>2039.880102925948</v>
      </c>
    </row>
    <row r="53" spans="1:7" x14ac:dyDescent="0.2">
      <c r="A53" s="16" t="s">
        <v>4</v>
      </c>
      <c r="B53" s="17" t="s">
        <v>2</v>
      </c>
      <c r="C53" s="140">
        <f>'2.Encargos Sociais'!$C$37*100</f>
        <v>73.911951999999999</v>
      </c>
      <c r="D53" s="18">
        <f>E52</f>
        <v>2039.880102925948</v>
      </c>
      <c r="E53" s="18">
        <f>D53*C53/100</f>
        <v>1507.7152025321773</v>
      </c>
    </row>
    <row r="54" spans="1:7" x14ac:dyDescent="0.2">
      <c r="A54" s="116" t="s">
        <v>73</v>
      </c>
      <c r="B54" s="117"/>
      <c r="C54" s="117"/>
      <c r="D54" s="118"/>
      <c r="E54" s="119">
        <f>E52+E53</f>
        <v>3547.595305458125</v>
      </c>
    </row>
    <row r="55" spans="1:7" ht="13.5" thickBot="1" x14ac:dyDescent="0.25">
      <c r="A55" s="16" t="s">
        <v>5</v>
      </c>
      <c r="B55" s="17" t="s">
        <v>6</v>
      </c>
      <c r="C55" s="85">
        <v>4</v>
      </c>
      <c r="D55" s="18">
        <f>E54</f>
        <v>3547.595305458125</v>
      </c>
      <c r="E55" s="18">
        <f>C55*D55</f>
        <v>14190.3812218325</v>
      </c>
      <c r="G55" s="6"/>
    </row>
    <row r="56" spans="1:7" ht="13.9" customHeight="1" thickBot="1" x14ac:dyDescent="0.25">
      <c r="D56" s="123" t="s">
        <v>201</v>
      </c>
      <c r="E56" s="49">
        <f>$B$41</f>
        <v>1</v>
      </c>
      <c r="F56" s="124">
        <f>E55*E56</f>
        <v>14190.3812218325</v>
      </c>
      <c r="G56" s="6"/>
    </row>
    <row r="57" spans="1:7" ht="11.25" customHeight="1" x14ac:dyDescent="0.2"/>
    <row r="58" spans="1:7" ht="13.5" thickBot="1" x14ac:dyDescent="0.25">
      <c r="A58" s="9" t="s">
        <v>92</v>
      </c>
    </row>
    <row r="59" spans="1:7" ht="13.5" thickBot="1" x14ac:dyDescent="0.25">
      <c r="A59" s="59" t="s">
        <v>64</v>
      </c>
      <c r="B59" s="60" t="s">
        <v>65</v>
      </c>
      <c r="C59" s="60" t="s">
        <v>40</v>
      </c>
      <c r="D59" s="61" t="s">
        <v>245</v>
      </c>
      <c r="E59" s="61" t="s">
        <v>66</v>
      </c>
      <c r="F59" s="62" t="s">
        <v>67</v>
      </c>
    </row>
    <row r="60" spans="1:7" x14ac:dyDescent="0.2">
      <c r="A60" s="13" t="s">
        <v>223</v>
      </c>
      <c r="B60" s="14" t="s">
        <v>8</v>
      </c>
      <c r="C60" s="14">
        <v>1</v>
      </c>
      <c r="D60" s="15">
        <f>D47</f>
        <v>1330.73</v>
      </c>
      <c r="E60" s="15">
        <f>C60*D60</f>
        <v>1330.73</v>
      </c>
    </row>
    <row r="61" spans="1:7" x14ac:dyDescent="0.2">
      <c r="A61" s="16" t="s">
        <v>7</v>
      </c>
      <c r="B61" s="17" t="s">
        <v>100</v>
      </c>
      <c r="C61" s="87"/>
      <c r="D61" s="18"/>
      <c r="E61" s="18"/>
    </row>
    <row r="62" spans="1:7" x14ac:dyDescent="0.2">
      <c r="A62" s="16"/>
      <c r="B62" s="17" t="s">
        <v>104</v>
      </c>
      <c r="C62" s="120">
        <f>C61*8/7</f>
        <v>0</v>
      </c>
      <c r="D62" s="18">
        <f>D60/220*0.2</f>
        <v>1.2097545454545455</v>
      </c>
      <c r="E62" s="18">
        <f>C61*D62</f>
        <v>0</v>
      </c>
    </row>
    <row r="63" spans="1:7" x14ac:dyDescent="0.2">
      <c r="A63" s="16" t="s">
        <v>1</v>
      </c>
      <c r="B63" s="17" t="s">
        <v>2</v>
      </c>
      <c r="C63" s="17">
        <f>+C51</f>
        <v>40</v>
      </c>
      <c r="D63" s="82">
        <f>SUM(E60:E62)</f>
        <v>1330.73</v>
      </c>
      <c r="E63" s="18">
        <f>C63*D63/100</f>
        <v>532.29199999999992</v>
      </c>
    </row>
    <row r="64" spans="1:7" x14ac:dyDescent="0.2">
      <c r="A64" s="116" t="s">
        <v>3</v>
      </c>
      <c r="B64" s="117"/>
      <c r="C64" s="117"/>
      <c r="D64" s="118"/>
      <c r="E64" s="119">
        <f>SUM(E60:E63)</f>
        <v>1863.0219999999999</v>
      </c>
    </row>
    <row r="65" spans="1:7" x14ac:dyDescent="0.2">
      <c r="A65" s="16" t="s">
        <v>4</v>
      </c>
      <c r="B65" s="17" t="s">
        <v>2</v>
      </c>
      <c r="C65" s="140">
        <f>'2.Encargos Sociais'!$C$37*100</f>
        <v>73.911951999999999</v>
      </c>
      <c r="D65" s="18">
        <f>E64</f>
        <v>1863.0219999999999</v>
      </c>
      <c r="E65" s="18">
        <f>D65*C65/100</f>
        <v>1376.9959263894398</v>
      </c>
    </row>
    <row r="66" spans="1:7" x14ac:dyDescent="0.2">
      <c r="A66" s="116" t="s">
        <v>73</v>
      </c>
      <c r="B66" s="117"/>
      <c r="C66" s="117"/>
      <c r="D66" s="118"/>
      <c r="E66" s="119">
        <f>E64+E65</f>
        <v>3240.0179263894397</v>
      </c>
    </row>
    <row r="67" spans="1:7" ht="13.5" thickBot="1" x14ac:dyDescent="0.25">
      <c r="A67" s="16" t="s">
        <v>5</v>
      </c>
      <c r="B67" s="17" t="s">
        <v>6</v>
      </c>
      <c r="C67" s="85"/>
      <c r="D67" s="18">
        <f>E66</f>
        <v>3240.0179263894397</v>
      </c>
      <c r="E67" s="18">
        <f>C67*D67</f>
        <v>0</v>
      </c>
    </row>
    <row r="68" spans="1:7" ht="13.5" thickBot="1" x14ac:dyDescent="0.25">
      <c r="D68" s="123" t="s">
        <v>201</v>
      </c>
      <c r="E68" s="49">
        <f>$B$41</f>
        <v>1</v>
      </c>
      <c r="F68" s="124">
        <f>E67*E68</f>
        <v>0</v>
      </c>
    </row>
    <row r="69" spans="1:7" ht="11.25" customHeight="1" x14ac:dyDescent="0.2"/>
    <row r="70" spans="1:7" ht="13.5" thickBot="1" x14ac:dyDescent="0.25">
      <c r="A70" s="9" t="s">
        <v>102</v>
      </c>
    </row>
    <row r="71" spans="1:7" s="12" customFormat="1" ht="13.15" customHeight="1" thickBot="1" x14ac:dyDescent="0.25">
      <c r="A71" s="59" t="s">
        <v>64</v>
      </c>
      <c r="B71" s="60" t="s">
        <v>65</v>
      </c>
      <c r="C71" s="60" t="s">
        <v>40</v>
      </c>
      <c r="D71" s="61" t="s">
        <v>245</v>
      </c>
      <c r="E71" s="61" t="s">
        <v>66</v>
      </c>
      <c r="F71" s="62" t="s">
        <v>67</v>
      </c>
      <c r="G71" s="10"/>
    </row>
    <row r="72" spans="1:7" x14ac:dyDescent="0.2">
      <c r="A72" s="299" t="s">
        <v>299</v>
      </c>
      <c r="B72" s="14" t="s">
        <v>8</v>
      </c>
      <c r="C72" s="14">
        <v>1</v>
      </c>
      <c r="D72" s="86">
        <v>1804.93</v>
      </c>
      <c r="E72" s="15">
        <f>C72*D72</f>
        <v>1804.93</v>
      </c>
    </row>
    <row r="73" spans="1:7" x14ac:dyDescent="0.2">
      <c r="A73" s="299" t="s">
        <v>300</v>
      </c>
      <c r="B73" s="14" t="s">
        <v>8</v>
      </c>
      <c r="C73" s="14">
        <v>1</v>
      </c>
      <c r="D73" s="86">
        <v>1045</v>
      </c>
      <c r="E73" s="15"/>
    </row>
    <row r="74" spans="1:7" x14ac:dyDescent="0.2">
      <c r="A74" s="16" t="s">
        <v>34</v>
      </c>
      <c r="B74" s="17" t="s">
        <v>0</v>
      </c>
      <c r="C74" s="87">
        <v>8.64</v>
      </c>
      <c r="D74" s="18">
        <f>D72/220*2</f>
        <v>16.408454545454546</v>
      </c>
      <c r="E74" s="18">
        <f>C74*D74</f>
        <v>141.76904727272728</v>
      </c>
      <c r="G74" s="10" t="s">
        <v>261</v>
      </c>
    </row>
    <row r="75" spans="1:7" x14ac:dyDescent="0.2">
      <c r="A75" s="16" t="s">
        <v>35</v>
      </c>
      <c r="B75" s="17" t="s">
        <v>0</v>
      </c>
      <c r="C75" s="87">
        <v>0</v>
      </c>
      <c r="D75" s="18">
        <f>D72/220*1.5</f>
        <v>12.30634090909091</v>
      </c>
      <c r="E75" s="18">
        <f>C75*D75</f>
        <v>0</v>
      </c>
      <c r="G75" s="10" t="s">
        <v>262</v>
      </c>
    </row>
    <row r="76" spans="1:7" ht="13.15" customHeight="1" x14ac:dyDescent="0.2">
      <c r="A76" s="16" t="s">
        <v>226</v>
      </c>
      <c r="B76" s="17" t="s">
        <v>33</v>
      </c>
      <c r="D76" s="18">
        <f>63/302*(SUM(E74:E75))</f>
        <v>29.57433767609874</v>
      </c>
      <c r="E76" s="18">
        <f>D76</f>
        <v>29.57433767609874</v>
      </c>
      <c r="G76" s="10" t="s">
        <v>225</v>
      </c>
    </row>
    <row r="77" spans="1:7" x14ac:dyDescent="0.2">
      <c r="A77" s="16" t="s">
        <v>224</v>
      </c>
      <c r="B77" s="17"/>
      <c r="C77" s="89">
        <v>2</v>
      </c>
      <c r="D77" s="18"/>
      <c r="E77" s="18"/>
    </row>
    <row r="78" spans="1:7" x14ac:dyDescent="0.2">
      <c r="A78" s="16" t="s">
        <v>1</v>
      </c>
      <c r="B78" s="17" t="s">
        <v>2</v>
      </c>
      <c r="C78" s="85">
        <v>40</v>
      </c>
      <c r="D78" s="82">
        <f>IF(C77=2,SUM(E72:E76),IF(C77=1,(SUM(E72:E76))*D73/D72,0))</f>
        <v>1976.2733849488261</v>
      </c>
      <c r="E78" s="18">
        <f>C78*D78/100</f>
        <v>790.50935397953037</v>
      </c>
    </row>
    <row r="79" spans="1:7" s="11" customFormat="1" x14ac:dyDescent="0.2">
      <c r="A79" s="102" t="s">
        <v>3</v>
      </c>
      <c r="B79" s="117"/>
      <c r="C79" s="117"/>
      <c r="D79" s="118"/>
      <c r="E79" s="104">
        <f>SUM(E72:E78)</f>
        <v>2766.7827389283566</v>
      </c>
      <c r="F79" s="43"/>
      <c r="G79" s="43"/>
    </row>
    <row r="80" spans="1:7" x14ac:dyDescent="0.2">
      <c r="A80" s="16" t="s">
        <v>4</v>
      </c>
      <c r="B80" s="17" t="s">
        <v>2</v>
      </c>
      <c r="C80" s="140">
        <f>'2.Encargos Sociais'!$C$37*100</f>
        <v>73.911951999999999</v>
      </c>
      <c r="D80" s="18">
        <f>E79</f>
        <v>2766.7827389283566</v>
      </c>
      <c r="E80" s="18">
        <f>D80*C80/100</f>
        <v>2044.9831299410123</v>
      </c>
    </row>
    <row r="81" spans="1:7" s="11" customFormat="1" x14ac:dyDescent="0.2">
      <c r="A81" s="102" t="s">
        <v>263</v>
      </c>
      <c r="B81" s="261"/>
      <c r="C81" s="261"/>
      <c r="D81" s="262"/>
      <c r="E81" s="104">
        <f>E79+E80</f>
        <v>4811.7658688693691</v>
      </c>
      <c r="F81" s="43"/>
      <c r="G81" s="43"/>
    </row>
    <row r="82" spans="1:7" ht="13.5" thickBot="1" x14ac:dyDescent="0.25">
      <c r="A82" s="16" t="s">
        <v>5</v>
      </c>
      <c r="B82" s="17" t="s">
        <v>6</v>
      </c>
      <c r="C82" s="85">
        <v>2</v>
      </c>
      <c r="D82" s="18">
        <f>E81</f>
        <v>4811.7658688693691</v>
      </c>
      <c r="E82" s="18">
        <f>C82*D82</f>
        <v>9623.5317377387382</v>
      </c>
    </row>
    <row r="83" spans="1:7" ht="13.5" thickBot="1" x14ac:dyDescent="0.25">
      <c r="D83" s="123" t="s">
        <v>201</v>
      </c>
      <c r="E83" s="49">
        <f>$B$41</f>
        <v>1</v>
      </c>
      <c r="F83" s="124">
        <f>E82*E83</f>
        <v>9623.5317377387382</v>
      </c>
    </row>
    <row r="84" spans="1:7" ht="11.25" customHeight="1" x14ac:dyDescent="0.2"/>
    <row r="85" spans="1:7" ht="13.5" thickBot="1" x14ac:dyDescent="0.25">
      <c r="A85" s="9" t="s">
        <v>103</v>
      </c>
    </row>
    <row r="86" spans="1:7" ht="13.5" thickBot="1" x14ac:dyDescent="0.25">
      <c r="A86" s="59" t="s">
        <v>64</v>
      </c>
      <c r="B86" s="60" t="s">
        <v>65</v>
      </c>
      <c r="C86" s="60" t="s">
        <v>40</v>
      </c>
      <c r="D86" s="61" t="s">
        <v>245</v>
      </c>
      <c r="E86" s="61" t="s">
        <v>66</v>
      </c>
      <c r="F86" s="62" t="s">
        <v>67</v>
      </c>
    </row>
    <row r="87" spans="1:7" x14ac:dyDescent="0.2">
      <c r="A87" s="299" t="s">
        <v>299</v>
      </c>
      <c r="B87" s="14" t="s">
        <v>8</v>
      </c>
      <c r="C87" s="14">
        <v>1</v>
      </c>
      <c r="D87" s="15">
        <f>D72</f>
        <v>1804.93</v>
      </c>
      <c r="E87" s="15">
        <f>C87*D87</f>
        <v>1804.93</v>
      </c>
    </row>
    <row r="88" spans="1:7" x14ac:dyDescent="0.2">
      <c r="A88" s="299" t="s">
        <v>300</v>
      </c>
      <c r="B88" s="14" t="s">
        <v>8</v>
      </c>
      <c r="C88" s="14">
        <v>1</v>
      </c>
      <c r="D88" s="18">
        <f>D73</f>
        <v>1045</v>
      </c>
      <c r="E88" s="18"/>
    </row>
    <row r="89" spans="1:7" x14ac:dyDescent="0.2">
      <c r="A89" s="16" t="s">
        <v>7</v>
      </c>
      <c r="B89" s="17" t="s">
        <v>100</v>
      </c>
      <c r="C89" s="87"/>
      <c r="D89" s="16"/>
      <c r="E89" s="16"/>
    </row>
    <row r="90" spans="1:7" x14ac:dyDescent="0.2">
      <c r="A90" s="16"/>
      <c r="B90" s="17" t="s">
        <v>104</v>
      </c>
      <c r="C90" s="18">
        <f>C89*8/7</f>
        <v>0</v>
      </c>
      <c r="D90" s="18">
        <f>D87/220*0.2</f>
        <v>1.6408454545454547</v>
      </c>
      <c r="E90" s="18">
        <f>C89*D90</f>
        <v>0</v>
      </c>
    </row>
    <row r="91" spans="1:7" x14ac:dyDescent="0.2">
      <c r="A91" s="16" t="s">
        <v>224</v>
      </c>
      <c r="B91" s="17"/>
      <c r="C91" s="89"/>
      <c r="D91" s="18"/>
      <c r="E91" s="18"/>
    </row>
    <row r="92" spans="1:7" x14ac:dyDescent="0.2">
      <c r="A92" s="16" t="s">
        <v>1</v>
      </c>
      <c r="B92" s="17" t="s">
        <v>2</v>
      </c>
      <c r="C92" s="82">
        <f>+C78</f>
        <v>40</v>
      </c>
      <c r="D92" s="82">
        <f>IF(C91=2,SUM(E87:E90),IF(C91=1,SUM(E87:E90)*D88/D87,0))</f>
        <v>0</v>
      </c>
      <c r="E92" s="18">
        <f>C92*D92/100</f>
        <v>0</v>
      </c>
    </row>
    <row r="93" spans="1:7" s="11" customFormat="1" x14ac:dyDescent="0.2">
      <c r="A93" s="116" t="s">
        <v>3</v>
      </c>
      <c r="B93" s="117"/>
      <c r="C93" s="117"/>
      <c r="D93" s="118"/>
      <c r="E93" s="119">
        <f>SUM(E87:E92)</f>
        <v>1804.93</v>
      </c>
      <c r="F93" s="43"/>
      <c r="G93" s="43"/>
    </row>
    <row r="94" spans="1:7" x14ac:dyDescent="0.2">
      <c r="A94" s="16" t="s">
        <v>4</v>
      </c>
      <c r="B94" s="17" t="s">
        <v>2</v>
      </c>
      <c r="C94" s="140">
        <f>'2.Encargos Sociais'!$C$37*100</f>
        <v>73.911951999999999</v>
      </c>
      <c r="D94" s="18">
        <f>E93</f>
        <v>1804.93</v>
      </c>
      <c r="E94" s="18">
        <f>D94*C94/100</f>
        <v>1334.0589952336002</v>
      </c>
    </row>
    <row r="95" spans="1:7" s="11" customFormat="1" x14ac:dyDescent="0.2">
      <c r="A95" s="116" t="s">
        <v>263</v>
      </c>
      <c r="B95" s="117"/>
      <c r="C95" s="117"/>
      <c r="D95" s="118"/>
      <c r="E95" s="119">
        <f>E93+E94</f>
        <v>3138.9889952336002</v>
      </c>
      <c r="F95" s="43"/>
      <c r="G95" s="43"/>
    </row>
    <row r="96" spans="1:7" ht="13.5" thickBot="1" x14ac:dyDescent="0.25">
      <c r="A96" s="16" t="s">
        <v>5</v>
      </c>
      <c r="B96" s="17" t="s">
        <v>6</v>
      </c>
      <c r="C96" s="85"/>
      <c r="D96" s="18">
        <f>E95</f>
        <v>3138.9889952336002</v>
      </c>
      <c r="E96" s="18">
        <f>C96*D96</f>
        <v>0</v>
      </c>
    </row>
    <row r="97" spans="1:7" ht="13.5" thickBot="1" x14ac:dyDescent="0.25">
      <c r="D97" s="123" t="s">
        <v>201</v>
      </c>
      <c r="E97" s="49">
        <f>$B$41</f>
        <v>1</v>
      </c>
      <c r="F97" s="124">
        <f>E96*E97</f>
        <v>0</v>
      </c>
    </row>
    <row r="98" spans="1:7" ht="11.25" customHeight="1" x14ac:dyDescent="0.2">
      <c r="G98" s="9"/>
    </row>
    <row r="99" spans="1:7" ht="13.5" thickBot="1" x14ac:dyDescent="0.25">
      <c r="A99" s="9" t="s">
        <v>105</v>
      </c>
      <c r="B99" s="92"/>
      <c r="D99" s="9"/>
      <c r="E99" s="9"/>
      <c r="G99" s="9"/>
    </row>
    <row r="100" spans="1:7" ht="13.5" thickBot="1" x14ac:dyDescent="0.25">
      <c r="A100" s="59" t="s">
        <v>64</v>
      </c>
      <c r="B100" s="60" t="s">
        <v>65</v>
      </c>
      <c r="C100" s="60" t="s">
        <v>40</v>
      </c>
      <c r="D100" s="61" t="s">
        <v>245</v>
      </c>
      <c r="E100" s="61" t="s">
        <v>66</v>
      </c>
      <c r="F100" s="62" t="s">
        <v>67</v>
      </c>
      <c r="G100" s="9"/>
    </row>
    <row r="101" spans="1:7" x14ac:dyDescent="0.2">
      <c r="A101" s="16" t="s">
        <v>93</v>
      </c>
      <c r="B101" s="17" t="s">
        <v>33</v>
      </c>
      <c r="C101" s="93">
        <v>1</v>
      </c>
      <c r="D101" s="91">
        <v>3.5</v>
      </c>
      <c r="E101" s="18"/>
      <c r="G101" s="9"/>
    </row>
    <row r="102" spans="1:7" x14ac:dyDescent="0.2">
      <c r="A102" s="16" t="s">
        <v>94</v>
      </c>
      <c r="B102" s="17" t="s">
        <v>95</v>
      </c>
      <c r="C102" s="90">
        <v>26</v>
      </c>
      <c r="D102" s="18"/>
      <c r="E102" s="18"/>
      <c r="G102" s="9"/>
    </row>
    <row r="103" spans="1:7" x14ac:dyDescent="0.2">
      <c r="A103" s="16" t="s">
        <v>74</v>
      </c>
      <c r="B103" s="17" t="s">
        <v>9</v>
      </c>
      <c r="C103" s="37">
        <f>$C$102*2*(C55+C67)</f>
        <v>208</v>
      </c>
      <c r="D103" s="15">
        <f>IFERROR((($C$102*2*$D$101)-(E47*0.06*C102/26))/($C$102*2),"-")</f>
        <v>1.9645423076923076</v>
      </c>
      <c r="E103" s="18">
        <f>IFERROR(C103*D103,"-")</f>
        <v>408.62479999999999</v>
      </c>
      <c r="G103" s="9"/>
    </row>
    <row r="104" spans="1:7" ht="13.5" thickBot="1" x14ac:dyDescent="0.25">
      <c r="A104" s="13" t="s">
        <v>44</v>
      </c>
      <c r="B104" s="14" t="s">
        <v>9</v>
      </c>
      <c r="C104" s="37">
        <f>$C$102*2*(C82+C96)</f>
        <v>104</v>
      </c>
      <c r="D104" s="15">
        <f>IFERROR((($C$102*2*$D$101)-(E72*0.06*C102/26))/($C$102*2),"-")</f>
        <v>1.4173884615384615</v>
      </c>
      <c r="E104" s="15">
        <f>IFERROR(C104*D104,"-")</f>
        <v>147.4084</v>
      </c>
      <c r="G104" s="9"/>
    </row>
    <row r="105" spans="1:7" ht="13.5" thickBot="1" x14ac:dyDescent="0.25">
      <c r="F105" s="22">
        <f>SUM(E103:E104)</f>
        <v>556.03319999999997</v>
      </c>
      <c r="G105" s="9"/>
    </row>
    <row r="106" spans="1:7" ht="11.25" customHeight="1" x14ac:dyDescent="0.2">
      <c r="G106" s="9"/>
    </row>
    <row r="107" spans="1:7" ht="13.5" thickBot="1" x14ac:dyDescent="0.25">
      <c r="A107" s="9" t="s">
        <v>128</v>
      </c>
      <c r="F107" s="23"/>
      <c r="G107" s="9"/>
    </row>
    <row r="108" spans="1:7" ht="13.5" thickBot="1" x14ac:dyDescent="0.25">
      <c r="A108" s="59" t="s">
        <v>64</v>
      </c>
      <c r="B108" s="60" t="s">
        <v>65</v>
      </c>
      <c r="C108" s="60" t="s">
        <v>40</v>
      </c>
      <c r="D108" s="61" t="s">
        <v>245</v>
      </c>
      <c r="E108" s="61" t="s">
        <v>66</v>
      </c>
      <c r="F108" s="62" t="s">
        <v>67</v>
      </c>
      <c r="G108" s="9"/>
    </row>
    <row r="109" spans="1:7" x14ac:dyDescent="0.2">
      <c r="A109" s="16" t="str">
        <f>+A103</f>
        <v>Coletor</v>
      </c>
      <c r="B109" s="17" t="s">
        <v>10</v>
      </c>
      <c r="C109" s="101">
        <f>C102*(E31+E32)</f>
        <v>104</v>
      </c>
      <c r="D109" s="94">
        <v>14.1</v>
      </c>
      <c r="E109" s="49">
        <f>C109*D109</f>
        <v>1466.3999999999999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10</v>
      </c>
      <c r="C110" s="101">
        <f>C102*(E33+E34)</f>
        <v>52</v>
      </c>
      <c r="D110" s="94">
        <v>11.98</v>
      </c>
      <c r="E110" s="49">
        <f>C110*D110</f>
        <v>622.96</v>
      </c>
      <c r="F110" s="23"/>
      <c r="G110" s="9"/>
    </row>
    <row r="111" spans="1:7" ht="13.5" thickBot="1" x14ac:dyDescent="0.25">
      <c r="F111" s="22">
        <f>SUM(E109:E110)</f>
        <v>2089.3599999999997</v>
      </c>
      <c r="G111" s="9"/>
    </row>
    <row r="112" spans="1:7" x14ac:dyDescent="0.2">
      <c r="G112" s="9"/>
    </row>
    <row r="113" spans="1:7" ht="13.5" thickBot="1" x14ac:dyDescent="0.25">
      <c r="A113" s="9" t="s">
        <v>129</v>
      </c>
      <c r="F113" s="23"/>
      <c r="G113" s="9"/>
    </row>
    <row r="114" spans="1:7" ht="13.5" thickBot="1" x14ac:dyDescent="0.25">
      <c r="A114" s="59" t="s">
        <v>64</v>
      </c>
      <c r="B114" s="60" t="s">
        <v>65</v>
      </c>
      <c r="C114" s="60" t="s">
        <v>40</v>
      </c>
      <c r="D114" s="61" t="s">
        <v>245</v>
      </c>
      <c r="E114" s="61" t="s">
        <v>66</v>
      </c>
      <c r="F114" s="62" t="s">
        <v>67</v>
      </c>
      <c r="G114" s="9"/>
    </row>
    <row r="115" spans="1:7" x14ac:dyDescent="0.2">
      <c r="A115" s="16" t="str">
        <f>+A109</f>
        <v>Coletor</v>
      </c>
      <c r="B115" s="17" t="s">
        <v>10</v>
      </c>
      <c r="C115" s="101">
        <f>E31+E32</f>
        <v>4</v>
      </c>
      <c r="D115" s="94"/>
      <c r="E115" s="49">
        <f>C115*D115</f>
        <v>0</v>
      </c>
      <c r="F115" s="23"/>
      <c r="G115" s="9"/>
    </row>
    <row r="116" spans="1:7" ht="13.5" thickBot="1" x14ac:dyDescent="0.25">
      <c r="A116" s="16" t="str">
        <f>+A110</f>
        <v>Motorista</v>
      </c>
      <c r="B116" s="17" t="s">
        <v>10</v>
      </c>
      <c r="C116" s="101">
        <f>E33+E34</f>
        <v>2</v>
      </c>
      <c r="D116" s="94">
        <v>90.93</v>
      </c>
      <c r="E116" s="49">
        <f>C116*D116</f>
        <v>181.86</v>
      </c>
      <c r="F116" s="23"/>
      <c r="G116" s="9"/>
    </row>
    <row r="117" spans="1:7" ht="13.5" thickBot="1" x14ac:dyDescent="0.25">
      <c r="D117" s="123" t="s">
        <v>201</v>
      </c>
      <c r="E117" s="49">
        <f>$B$41</f>
        <v>1</v>
      </c>
      <c r="F117" s="22">
        <f>SUM(E115:E116)*E117</f>
        <v>181.86</v>
      </c>
      <c r="G117" s="9"/>
    </row>
    <row r="118" spans="1:7" ht="13.5" thickBot="1" x14ac:dyDescent="0.25">
      <c r="G118" s="9"/>
    </row>
    <row r="119" spans="1:7" ht="13.5" thickBot="1" x14ac:dyDescent="0.25">
      <c r="A119" s="24" t="s">
        <v>96</v>
      </c>
      <c r="B119" s="25"/>
      <c r="C119" s="25"/>
      <c r="D119" s="26"/>
      <c r="E119" s="27"/>
      <c r="F119" s="22">
        <f>F117+F111+F105+F97+F83+F68+F56</f>
        <v>26641.166159571236</v>
      </c>
      <c r="G119" s="9"/>
    </row>
    <row r="121" spans="1:7" x14ac:dyDescent="0.2">
      <c r="A121" s="11" t="s">
        <v>45</v>
      </c>
      <c r="G121" s="9"/>
    </row>
    <row r="122" spans="1:7" ht="11.25" customHeight="1" x14ac:dyDescent="0.2">
      <c r="G122" s="9"/>
    </row>
    <row r="123" spans="1:7" ht="13.9" customHeight="1" x14ac:dyDescent="0.2">
      <c r="A123" s="9" t="s">
        <v>203</v>
      </c>
      <c r="G123" s="9"/>
    </row>
    <row r="124" spans="1:7" ht="11.25" customHeight="1" thickBot="1" x14ac:dyDescent="0.25">
      <c r="G124" s="9"/>
    </row>
    <row r="125" spans="1:7" ht="27.75" customHeight="1" thickBot="1" x14ac:dyDescent="0.25">
      <c r="A125" s="59" t="s">
        <v>64</v>
      </c>
      <c r="B125" s="60" t="s">
        <v>65</v>
      </c>
      <c r="C125" s="263" t="s">
        <v>265</v>
      </c>
      <c r="D125" s="61" t="s">
        <v>245</v>
      </c>
      <c r="E125" s="61" t="s">
        <v>66</v>
      </c>
      <c r="F125" s="62" t="s">
        <v>67</v>
      </c>
      <c r="G125" s="9"/>
    </row>
    <row r="126" spans="1:7" x14ac:dyDescent="0.2">
      <c r="A126" s="13" t="s">
        <v>68</v>
      </c>
      <c r="B126" s="14" t="s">
        <v>10</v>
      </c>
      <c r="C126" s="100">
        <v>6</v>
      </c>
      <c r="D126" s="86">
        <v>179.99</v>
      </c>
      <c r="E126" s="15">
        <f>IFERROR(D126/C126,0)</f>
        <v>29.998333333333335</v>
      </c>
      <c r="G126" s="9"/>
    </row>
    <row r="127" spans="1:7" ht="13.15" customHeight="1" x14ac:dyDescent="0.2">
      <c r="A127" s="16" t="s">
        <v>29</v>
      </c>
      <c r="B127" s="17" t="s">
        <v>10</v>
      </c>
      <c r="C127" s="100">
        <v>3</v>
      </c>
      <c r="D127" s="86">
        <v>55</v>
      </c>
      <c r="E127" s="15">
        <f t="shared" ref="E127:E135" si="1">IFERROR(D127/C127,0)</f>
        <v>18.333333333333332</v>
      </c>
      <c r="G127" s="9"/>
    </row>
    <row r="128" spans="1:7" x14ac:dyDescent="0.2">
      <c r="A128" s="16" t="s">
        <v>30</v>
      </c>
      <c r="B128" s="17" t="s">
        <v>10</v>
      </c>
      <c r="C128" s="100">
        <v>1.5</v>
      </c>
      <c r="D128" s="86">
        <v>37.99</v>
      </c>
      <c r="E128" s="15">
        <f t="shared" si="1"/>
        <v>25.326666666666668</v>
      </c>
      <c r="G128" s="9"/>
    </row>
    <row r="129" spans="1:7" ht="13.15" customHeight="1" x14ac:dyDescent="0.2">
      <c r="A129" s="16" t="s">
        <v>31</v>
      </c>
      <c r="B129" s="17" t="s">
        <v>10</v>
      </c>
      <c r="C129" s="100">
        <v>2</v>
      </c>
      <c r="D129" s="86">
        <v>19.989999999999998</v>
      </c>
      <c r="E129" s="15">
        <f t="shared" si="1"/>
        <v>9.9949999999999992</v>
      </c>
      <c r="G129" s="9"/>
    </row>
    <row r="130" spans="1:7" ht="13.9" customHeight="1" x14ac:dyDescent="0.2">
      <c r="A130" s="16" t="s">
        <v>70</v>
      </c>
      <c r="B130" s="17" t="s">
        <v>48</v>
      </c>
      <c r="C130" s="100">
        <v>3</v>
      </c>
      <c r="D130" s="86">
        <v>50</v>
      </c>
      <c r="E130" s="15">
        <f t="shared" si="1"/>
        <v>16.666666666666668</v>
      </c>
      <c r="G130" s="9"/>
    </row>
    <row r="131" spans="1:7" ht="13.15" customHeight="1" x14ac:dyDescent="0.2">
      <c r="A131" s="16" t="s">
        <v>97</v>
      </c>
      <c r="B131" s="17" t="s">
        <v>48</v>
      </c>
      <c r="C131" s="100">
        <v>2</v>
      </c>
      <c r="D131" s="86">
        <v>15.9</v>
      </c>
      <c r="E131" s="15">
        <f t="shared" si="1"/>
        <v>7.95</v>
      </c>
    </row>
    <row r="132" spans="1:7" x14ac:dyDescent="0.2">
      <c r="A132" s="16" t="s">
        <v>69</v>
      </c>
      <c r="B132" s="17" t="s">
        <v>10</v>
      </c>
      <c r="C132" s="100">
        <v>2</v>
      </c>
      <c r="D132" s="86">
        <v>59.99</v>
      </c>
      <c r="E132" s="15">
        <f t="shared" si="1"/>
        <v>29.995000000000001</v>
      </c>
    </row>
    <row r="133" spans="1:7" s="1" customFormat="1" x14ac:dyDescent="0.2">
      <c r="A133" s="2" t="s">
        <v>11</v>
      </c>
      <c r="B133" s="3" t="s">
        <v>10</v>
      </c>
      <c r="C133" s="100">
        <v>2</v>
      </c>
      <c r="D133" s="86">
        <v>10</v>
      </c>
      <c r="E133" s="15">
        <f t="shared" si="1"/>
        <v>5</v>
      </c>
      <c r="F133" s="38"/>
      <c r="G133" s="38"/>
    </row>
    <row r="134" spans="1:7" x14ac:dyDescent="0.2">
      <c r="A134" s="16" t="s">
        <v>32</v>
      </c>
      <c r="B134" s="17" t="s">
        <v>48</v>
      </c>
      <c r="C134" s="100">
        <v>0.25</v>
      </c>
      <c r="D134" s="86">
        <v>14.99</v>
      </c>
      <c r="E134" s="15">
        <f t="shared" si="1"/>
        <v>59.96</v>
      </c>
    </row>
    <row r="135" spans="1:7" ht="13.15" customHeight="1" x14ac:dyDescent="0.2">
      <c r="A135" s="16" t="s">
        <v>63</v>
      </c>
      <c r="B135" s="17" t="s">
        <v>49</v>
      </c>
      <c r="C135" s="100">
        <v>1.5</v>
      </c>
      <c r="D135" s="86">
        <v>24.99</v>
      </c>
      <c r="E135" s="15">
        <f t="shared" si="1"/>
        <v>16.66</v>
      </c>
    </row>
    <row r="136" spans="1:7" x14ac:dyDescent="0.2">
      <c r="A136" s="16" t="s">
        <v>204</v>
      </c>
      <c r="B136" s="17" t="s">
        <v>130</v>
      </c>
      <c r="C136" s="121">
        <v>1</v>
      </c>
      <c r="D136" s="86">
        <v>145</v>
      </c>
      <c r="E136" s="18">
        <f t="shared" ref="E136:E137" si="2">C136*D136</f>
        <v>145</v>
      </c>
    </row>
    <row r="137" spans="1:7" ht="13.5" thickBot="1" x14ac:dyDescent="0.25">
      <c r="A137" s="16" t="s">
        <v>5</v>
      </c>
      <c r="B137" s="17" t="s">
        <v>6</v>
      </c>
      <c r="C137" s="68">
        <f>E31+E32</f>
        <v>4</v>
      </c>
      <c r="D137" s="18">
        <f>+SUM(E126:E136)</f>
        <v>364.88499999999999</v>
      </c>
      <c r="E137" s="18">
        <f t="shared" si="2"/>
        <v>1459.54</v>
      </c>
    </row>
    <row r="138" spans="1:7" ht="13.5" thickBot="1" x14ac:dyDescent="0.25">
      <c r="D138" s="123" t="s">
        <v>201</v>
      </c>
      <c r="E138" s="49">
        <f>$B$41</f>
        <v>1</v>
      </c>
      <c r="F138" s="124">
        <f>E137*E138</f>
        <v>1459.54</v>
      </c>
    </row>
    <row r="139" spans="1:7" ht="11.25" customHeight="1" x14ac:dyDescent="0.2"/>
    <row r="140" spans="1:7" ht="13.9" customHeight="1" x14ac:dyDescent="0.2">
      <c r="A140" s="9" t="s">
        <v>205</v>
      </c>
    </row>
    <row r="141" spans="1:7" ht="11.25" customHeight="1" thickBot="1" x14ac:dyDescent="0.25"/>
    <row r="142" spans="1:7" ht="24.75" thickBot="1" x14ac:dyDescent="0.25">
      <c r="A142" s="59" t="s">
        <v>64</v>
      </c>
      <c r="B142" s="60" t="s">
        <v>65</v>
      </c>
      <c r="C142" s="263" t="s">
        <v>265</v>
      </c>
      <c r="D142" s="61" t="s">
        <v>245</v>
      </c>
      <c r="E142" s="61" t="s">
        <v>66</v>
      </c>
      <c r="F142" s="62" t="s">
        <v>67</v>
      </c>
    </row>
    <row r="143" spans="1:7" x14ac:dyDescent="0.2">
      <c r="A143" s="13" t="s">
        <v>68</v>
      </c>
      <c r="B143" s="14" t="s">
        <v>10</v>
      </c>
      <c r="C143" s="100">
        <v>6</v>
      </c>
      <c r="D143" s="15">
        <f>+D126</f>
        <v>179.99</v>
      </c>
      <c r="E143" s="15">
        <f>IFERROR(D143/C143,0)</f>
        <v>29.998333333333335</v>
      </c>
    </row>
    <row r="144" spans="1:7" x14ac:dyDescent="0.2">
      <c r="A144" s="16" t="s">
        <v>29</v>
      </c>
      <c r="B144" s="17" t="s">
        <v>10</v>
      </c>
      <c r="C144" s="100">
        <v>3</v>
      </c>
      <c r="D144" s="18">
        <f>+D127</f>
        <v>55</v>
      </c>
      <c r="E144" s="15">
        <f t="shared" ref="E144:E148" si="3">IFERROR(D144/C144,0)</f>
        <v>18.333333333333332</v>
      </c>
    </row>
    <row r="145" spans="1:7" x14ac:dyDescent="0.2">
      <c r="A145" s="16" t="s">
        <v>30</v>
      </c>
      <c r="B145" s="17" t="s">
        <v>10</v>
      </c>
      <c r="C145" s="100">
        <v>2</v>
      </c>
      <c r="D145" s="18">
        <f>+D128</f>
        <v>37.99</v>
      </c>
      <c r="E145" s="15">
        <f t="shared" si="3"/>
        <v>18.995000000000001</v>
      </c>
    </row>
    <row r="146" spans="1:7" x14ac:dyDescent="0.2">
      <c r="A146" s="16" t="s">
        <v>70</v>
      </c>
      <c r="B146" s="17" t="s">
        <v>48</v>
      </c>
      <c r="C146" s="100">
        <v>6</v>
      </c>
      <c r="D146" s="18">
        <f>+D130</f>
        <v>50</v>
      </c>
      <c r="E146" s="15">
        <f t="shared" si="3"/>
        <v>8.3333333333333339</v>
      </c>
    </row>
    <row r="147" spans="1:7" x14ac:dyDescent="0.2">
      <c r="A147" s="16" t="s">
        <v>69</v>
      </c>
      <c r="B147" s="17" t="s">
        <v>10</v>
      </c>
      <c r="C147" s="100">
        <v>6</v>
      </c>
      <c r="D147" s="18">
        <f>+D132</f>
        <v>59.99</v>
      </c>
      <c r="E147" s="15">
        <f t="shared" si="3"/>
        <v>9.9983333333333331</v>
      </c>
      <c r="G147" s="9"/>
    </row>
    <row r="148" spans="1:7" x14ac:dyDescent="0.2">
      <c r="A148" s="16" t="s">
        <v>63</v>
      </c>
      <c r="B148" s="17" t="s">
        <v>49</v>
      </c>
      <c r="C148" s="100">
        <v>0.5</v>
      </c>
      <c r="D148" s="18">
        <f>+D135</f>
        <v>24.99</v>
      </c>
      <c r="E148" s="15">
        <f t="shared" si="3"/>
        <v>49.98</v>
      </c>
      <c r="G148" s="9"/>
    </row>
    <row r="149" spans="1:7" x14ac:dyDescent="0.2">
      <c r="A149" s="16" t="s">
        <v>204</v>
      </c>
      <c r="B149" s="17" t="s">
        <v>130</v>
      </c>
      <c r="C149" s="121">
        <v>1</v>
      </c>
      <c r="D149" s="86">
        <v>145</v>
      </c>
      <c r="E149" s="18">
        <f t="shared" ref="E149:E150" si="4">C149*D149</f>
        <v>145</v>
      </c>
      <c r="G149" s="9"/>
    </row>
    <row r="150" spans="1:7" ht="13.5" thickBot="1" x14ac:dyDescent="0.25">
      <c r="A150" s="16" t="s">
        <v>5</v>
      </c>
      <c r="B150" s="17" t="s">
        <v>6</v>
      </c>
      <c r="C150" s="68">
        <f>E33+E34</f>
        <v>2</v>
      </c>
      <c r="D150" s="18">
        <f>+SUM(E143:E149)</f>
        <v>280.63833333333332</v>
      </c>
      <c r="E150" s="18">
        <f t="shared" si="4"/>
        <v>561.27666666666664</v>
      </c>
      <c r="G150" s="9"/>
    </row>
    <row r="151" spans="1:7" ht="13.5" thickBot="1" x14ac:dyDescent="0.25">
      <c r="D151" s="123" t="s">
        <v>201</v>
      </c>
      <c r="E151" s="49">
        <f>$B$41</f>
        <v>1</v>
      </c>
      <c r="F151" s="124">
        <f>E150*E151</f>
        <v>561.27666666666664</v>
      </c>
      <c r="G151" s="9"/>
    </row>
    <row r="152" spans="1:7" ht="11.25" customHeight="1" thickBot="1" x14ac:dyDescent="0.25">
      <c r="G152" s="9"/>
    </row>
    <row r="153" spans="1:7" ht="13.5" thickBot="1" x14ac:dyDescent="0.25">
      <c r="A153" s="24" t="s">
        <v>206</v>
      </c>
      <c r="B153" s="28"/>
      <c r="C153" s="28"/>
      <c r="D153" s="29"/>
      <c r="E153" s="30"/>
      <c r="F153" s="21">
        <f>+F138+F151</f>
        <v>2020.8166666666666</v>
      </c>
      <c r="G153" s="9"/>
    </row>
    <row r="154" spans="1:7" ht="11.25" customHeight="1" x14ac:dyDescent="0.2">
      <c r="G154" s="9"/>
    </row>
    <row r="155" spans="1:7" x14ac:dyDescent="0.2">
      <c r="A155" s="11" t="s">
        <v>54</v>
      </c>
      <c r="G155" s="9"/>
    </row>
    <row r="156" spans="1:7" ht="11.25" customHeight="1" x14ac:dyDescent="0.2">
      <c r="B156" s="106"/>
      <c r="G156" s="9"/>
    </row>
    <row r="157" spans="1:7" x14ac:dyDescent="0.2">
      <c r="A157" s="7" t="s">
        <v>306</v>
      </c>
      <c r="G157" s="9"/>
    </row>
    <row r="158" spans="1:7" ht="11.25" customHeight="1" x14ac:dyDescent="0.2">
      <c r="G158" s="9"/>
    </row>
    <row r="159" spans="1:7" ht="13.5" thickBot="1" x14ac:dyDescent="0.25">
      <c r="A159" s="106" t="s">
        <v>46</v>
      </c>
      <c r="G159" s="9"/>
    </row>
    <row r="160" spans="1:7" ht="13.5" thickBot="1" x14ac:dyDescent="0.25">
      <c r="A160" s="59" t="s">
        <v>64</v>
      </c>
      <c r="B160" s="60" t="s">
        <v>65</v>
      </c>
      <c r="C160" s="60" t="s">
        <v>40</v>
      </c>
      <c r="D160" s="61" t="s">
        <v>245</v>
      </c>
      <c r="E160" s="61" t="s">
        <v>66</v>
      </c>
      <c r="F160" s="62" t="s">
        <v>67</v>
      </c>
      <c r="G160" s="9"/>
    </row>
    <row r="161" spans="1:10" x14ac:dyDescent="0.2">
      <c r="A161" s="13" t="s">
        <v>112</v>
      </c>
      <c r="B161" s="14" t="s">
        <v>10</v>
      </c>
      <c r="C161" s="269">
        <v>1</v>
      </c>
      <c r="D161" s="86">
        <v>333500</v>
      </c>
      <c r="E161" s="15">
        <f>C161*D161</f>
        <v>333500</v>
      </c>
      <c r="G161" s="9"/>
    </row>
    <row r="162" spans="1:10" x14ac:dyDescent="0.2">
      <c r="A162" s="16" t="s">
        <v>106</v>
      </c>
      <c r="B162" s="17" t="s">
        <v>107</v>
      </c>
      <c r="C162" s="85">
        <v>5</v>
      </c>
      <c r="D162" s="82"/>
      <c r="E162" s="18"/>
      <c r="G162" s="9"/>
    </row>
    <row r="163" spans="1:10" x14ac:dyDescent="0.2">
      <c r="A163" s="16" t="s">
        <v>218</v>
      </c>
      <c r="B163" s="17" t="s">
        <v>107</v>
      </c>
      <c r="C163" s="85">
        <v>0</v>
      </c>
      <c r="D163" s="18"/>
      <c r="E163" s="18"/>
      <c r="F163" s="20"/>
      <c r="I163" s="84"/>
      <c r="J163" s="84"/>
    </row>
    <row r="164" spans="1:10" x14ac:dyDescent="0.2">
      <c r="A164" s="16" t="s">
        <v>110</v>
      </c>
      <c r="B164" s="17" t="s">
        <v>2</v>
      </c>
      <c r="C164" s="140">
        <f>IFERROR(VLOOKUP(C162,'5. Depreciação'!A3:B17,2,FALSE),0)</f>
        <v>55.679999999999993</v>
      </c>
      <c r="D164" s="18">
        <f>E161</f>
        <v>333500</v>
      </c>
      <c r="E164" s="18">
        <f>C164*D164/100</f>
        <v>185692.79999999996</v>
      </c>
    </row>
    <row r="165" spans="1:10" ht="13.5" thickBot="1" x14ac:dyDescent="0.25">
      <c r="A165" s="272" t="s">
        <v>50</v>
      </c>
      <c r="B165" s="273" t="s">
        <v>8</v>
      </c>
      <c r="C165" s="273">
        <f>C162*12</f>
        <v>60</v>
      </c>
      <c r="D165" s="274">
        <f>IF(C163&lt;=C162,E164,0)</f>
        <v>185692.79999999996</v>
      </c>
      <c r="E165" s="274">
        <f>IFERROR(D165/C165,0)</f>
        <v>3094.8799999999992</v>
      </c>
    </row>
    <row r="166" spans="1:10" ht="13.5" thickTop="1" x14ac:dyDescent="0.2">
      <c r="A166" s="13" t="s">
        <v>111</v>
      </c>
      <c r="B166" s="14" t="s">
        <v>10</v>
      </c>
      <c r="C166" s="14">
        <f>C161</f>
        <v>1</v>
      </c>
      <c r="D166" s="86">
        <v>145000</v>
      </c>
      <c r="E166" s="15">
        <f>C166*D166</f>
        <v>145000</v>
      </c>
      <c r="G166" s="9"/>
    </row>
    <row r="167" spans="1:10" x14ac:dyDescent="0.2">
      <c r="A167" s="16" t="s">
        <v>108</v>
      </c>
      <c r="B167" s="17" t="s">
        <v>107</v>
      </c>
      <c r="C167" s="85">
        <v>5</v>
      </c>
      <c r="D167" s="305" t="s">
        <v>307</v>
      </c>
      <c r="E167" s="18"/>
    </row>
    <row r="168" spans="1:10" x14ac:dyDescent="0.2">
      <c r="A168" s="16" t="s">
        <v>219</v>
      </c>
      <c r="B168" s="17" t="s">
        <v>107</v>
      </c>
      <c r="C168" s="85">
        <v>0</v>
      </c>
      <c r="D168" s="18"/>
      <c r="E168" s="18"/>
      <c r="F168" s="20"/>
      <c r="I168" s="84"/>
      <c r="J168" s="84"/>
    </row>
    <row r="169" spans="1:10" x14ac:dyDescent="0.2">
      <c r="A169" s="16" t="s">
        <v>109</v>
      </c>
      <c r="B169" s="17" t="s">
        <v>2</v>
      </c>
      <c r="C169" s="141">
        <f>IFERROR(VLOOKUP(C167,'5. Depreciação'!A3:B17,2,FALSE),0)</f>
        <v>55.679999999999993</v>
      </c>
      <c r="D169" s="18">
        <f>E166</f>
        <v>145000</v>
      </c>
      <c r="E169" s="18">
        <f>C169*D169/100</f>
        <v>80735.999999999985</v>
      </c>
    </row>
    <row r="170" spans="1:10" x14ac:dyDescent="0.2">
      <c r="A170" s="102" t="s">
        <v>113</v>
      </c>
      <c r="B170" s="103" t="s">
        <v>8</v>
      </c>
      <c r="C170" s="103">
        <f>C167*12</f>
        <v>60</v>
      </c>
      <c r="D170" s="104">
        <f>IF(C168&lt;=C167,E169,0)</f>
        <v>80735.999999999985</v>
      </c>
      <c r="E170" s="104">
        <f>IFERROR(D170/C170,0)</f>
        <v>1345.5999999999997</v>
      </c>
    </row>
    <row r="171" spans="1:10" x14ac:dyDescent="0.2">
      <c r="A171" s="116" t="s">
        <v>268</v>
      </c>
      <c r="B171" s="117"/>
      <c r="C171" s="117"/>
      <c r="D171" s="118"/>
      <c r="E171" s="119">
        <f>E165+E170</f>
        <v>4440.4799999999987</v>
      </c>
    </row>
    <row r="172" spans="1:10" ht="13.5" thickBot="1" x14ac:dyDescent="0.25">
      <c r="A172" s="102" t="s">
        <v>269</v>
      </c>
      <c r="B172" s="103" t="s">
        <v>10</v>
      </c>
      <c r="C172" s="85">
        <v>1</v>
      </c>
      <c r="D172" s="104">
        <f>E171</f>
        <v>4440.4799999999987</v>
      </c>
      <c r="E172" s="119">
        <f>C172*D172</f>
        <v>4440.4799999999987</v>
      </c>
    </row>
    <row r="173" spans="1:10" ht="13.5" thickBot="1" x14ac:dyDescent="0.25">
      <c r="A173" s="268"/>
      <c r="B173" s="268"/>
      <c r="C173" s="268"/>
      <c r="D173" s="123" t="s">
        <v>201</v>
      </c>
      <c r="E173" s="49">
        <f>$B$41</f>
        <v>1</v>
      </c>
      <c r="F173" s="21">
        <f>E172*E173</f>
        <v>4440.4799999999987</v>
      </c>
    </row>
    <row r="174" spans="1:10" ht="11.25" customHeight="1" x14ac:dyDescent="0.2"/>
    <row r="175" spans="1:10" ht="13.5" thickBot="1" x14ac:dyDescent="0.25">
      <c r="A175" s="106" t="s">
        <v>118</v>
      </c>
    </row>
    <row r="176" spans="1:10" ht="13.5" thickBot="1" x14ac:dyDescent="0.25">
      <c r="A176" s="108" t="s">
        <v>64</v>
      </c>
      <c r="B176" s="109" t="s">
        <v>65</v>
      </c>
      <c r="C176" s="109" t="s">
        <v>40</v>
      </c>
      <c r="D176" s="61" t="s">
        <v>245</v>
      </c>
      <c r="E176" s="110" t="s">
        <v>66</v>
      </c>
      <c r="F176" s="62" t="s">
        <v>67</v>
      </c>
      <c r="I176" s="84"/>
      <c r="J176" s="84"/>
    </row>
    <row r="177" spans="1:10" x14ac:dyDescent="0.2">
      <c r="A177" s="16" t="s">
        <v>116</v>
      </c>
      <c r="B177" s="17" t="s">
        <v>10</v>
      </c>
      <c r="C177" s="269">
        <v>1</v>
      </c>
      <c r="D177" s="18">
        <f>D161</f>
        <v>333500</v>
      </c>
      <c r="E177" s="18">
        <f>C177*D177</f>
        <v>333500</v>
      </c>
      <c r="F177" s="20"/>
      <c r="I177" s="84"/>
      <c r="J177" s="84"/>
    </row>
    <row r="178" spans="1:10" x14ac:dyDescent="0.2">
      <c r="A178" s="16" t="s">
        <v>222</v>
      </c>
      <c r="B178" s="17" t="s">
        <v>2</v>
      </c>
      <c r="C178" s="85">
        <v>1.9</v>
      </c>
      <c r="D178" s="18"/>
      <c r="E178" s="18"/>
      <c r="F178" s="20"/>
      <c r="I178" s="84"/>
      <c r="J178" s="84"/>
    </row>
    <row r="179" spans="1:10" x14ac:dyDescent="0.2">
      <c r="A179" s="16" t="s">
        <v>220</v>
      </c>
      <c r="B179" s="17" t="s">
        <v>33</v>
      </c>
      <c r="C179" s="148">
        <f>IFERROR(IF(C163&lt;=C162,E161-(C164/(100*C162)*C163)*E161,E161-E164),0)</f>
        <v>333500</v>
      </c>
      <c r="D179" s="18"/>
      <c r="E179" s="18"/>
      <c r="F179" s="20"/>
      <c r="I179" s="84"/>
      <c r="J179" s="84"/>
    </row>
    <row r="180" spans="1:10" x14ac:dyDescent="0.2">
      <c r="A180" s="16" t="s">
        <v>121</v>
      </c>
      <c r="B180" s="17" t="s">
        <v>33</v>
      </c>
      <c r="C180" s="82">
        <f>IFERROR(IF(C163&gt;=C162,C179,((((C179)-(E161-E164))*(((C162-C163)+1)/(2*(C162-C163))))+(E161-E164))),0)</f>
        <v>259222.88</v>
      </c>
      <c r="D180" s="18"/>
      <c r="E180" s="18"/>
      <c r="F180" s="20"/>
      <c r="I180" s="84"/>
      <c r="J180" s="84"/>
    </row>
    <row r="181" spans="1:10" ht="13.5" thickBot="1" x14ac:dyDescent="0.25">
      <c r="A181" s="272" t="s">
        <v>122</v>
      </c>
      <c r="B181" s="273" t="s">
        <v>33</v>
      </c>
      <c r="C181" s="273"/>
      <c r="D181" s="275">
        <f>C178*C180/12/100</f>
        <v>410.4362266666667</v>
      </c>
      <c r="E181" s="274">
        <f>D181</f>
        <v>410.4362266666667</v>
      </c>
      <c r="F181" s="20"/>
      <c r="I181" s="84"/>
      <c r="J181" s="84"/>
    </row>
    <row r="182" spans="1:10" ht="13.5" thickTop="1" x14ac:dyDescent="0.2">
      <c r="A182" s="13" t="s">
        <v>117</v>
      </c>
      <c r="B182" s="14" t="s">
        <v>10</v>
      </c>
      <c r="C182" s="14">
        <f>C166</f>
        <v>1</v>
      </c>
      <c r="D182" s="15">
        <f>D166</f>
        <v>145000</v>
      </c>
      <c r="E182" s="15">
        <f>C182*D182</f>
        <v>145000</v>
      </c>
      <c r="F182" s="20"/>
      <c r="I182" s="84"/>
      <c r="J182" s="84"/>
    </row>
    <row r="183" spans="1:10" x14ac:dyDescent="0.2">
      <c r="A183" s="16" t="s">
        <v>222</v>
      </c>
      <c r="B183" s="17" t="s">
        <v>2</v>
      </c>
      <c r="C183" s="270">
        <f>C178</f>
        <v>1.9</v>
      </c>
      <c r="D183" s="18"/>
      <c r="E183" s="18"/>
      <c r="F183" s="20"/>
      <c r="I183" s="84"/>
      <c r="J183" s="84"/>
    </row>
    <row r="184" spans="1:10" x14ac:dyDescent="0.2">
      <c r="A184" s="16" t="s">
        <v>221</v>
      </c>
      <c r="B184" s="17" t="s">
        <v>33</v>
      </c>
      <c r="C184" s="148">
        <f>IFERROR(IF(C168&lt;=C167,E166-(C169/(100*C167)*C168)*E166,E166-E169),0)</f>
        <v>145000</v>
      </c>
      <c r="D184" s="18"/>
      <c r="E184" s="18"/>
      <c r="F184" s="20"/>
      <c r="I184" s="84"/>
      <c r="J184" s="84"/>
    </row>
    <row r="185" spans="1:10" x14ac:dyDescent="0.2">
      <c r="A185" s="16" t="s">
        <v>123</v>
      </c>
      <c r="B185" s="17" t="s">
        <v>33</v>
      </c>
      <c r="C185" s="82">
        <f>IFERROR(IF(C168&gt;=C167,C184,((((C184)-(E166-E169))*(((C167-C168)+1)/(2*(C167-C168))))+(E166-E169))),0)</f>
        <v>112705.60000000001</v>
      </c>
      <c r="D185" s="18"/>
      <c r="E185" s="18"/>
      <c r="F185" s="20"/>
      <c r="I185" s="84"/>
      <c r="J185" s="84"/>
    </row>
    <row r="186" spans="1:10" x14ac:dyDescent="0.2">
      <c r="A186" s="102" t="s">
        <v>120</v>
      </c>
      <c r="B186" s="103" t="s">
        <v>33</v>
      </c>
      <c r="C186" s="103"/>
      <c r="D186" s="112">
        <f>C183*C185/12/100</f>
        <v>178.45053333333334</v>
      </c>
      <c r="E186" s="104">
        <f>D186</f>
        <v>178.45053333333334</v>
      </c>
      <c r="F186" s="20"/>
      <c r="I186" s="84"/>
      <c r="J186" s="84"/>
    </row>
    <row r="187" spans="1:10" x14ac:dyDescent="0.2">
      <c r="A187" s="116" t="s">
        <v>268</v>
      </c>
      <c r="B187" s="117"/>
      <c r="C187" s="117"/>
      <c r="D187" s="118"/>
      <c r="E187" s="119">
        <f>E181+E186</f>
        <v>588.88676000000009</v>
      </c>
      <c r="F187" s="20"/>
      <c r="I187" s="84"/>
      <c r="J187" s="84"/>
    </row>
    <row r="188" spans="1:10" ht="13.5" thickBot="1" x14ac:dyDescent="0.25">
      <c r="A188" s="102" t="s">
        <v>269</v>
      </c>
      <c r="B188" s="103" t="s">
        <v>10</v>
      </c>
      <c r="C188" s="270">
        <f>C172</f>
        <v>1</v>
      </c>
      <c r="D188" s="104">
        <f>E187</f>
        <v>588.88676000000009</v>
      </c>
      <c r="E188" s="119">
        <f>C188*D188</f>
        <v>588.88676000000009</v>
      </c>
      <c r="F188" s="20"/>
      <c r="I188" s="84"/>
      <c r="J188" s="84"/>
    </row>
    <row r="189" spans="1:10" ht="13.5" thickBot="1" x14ac:dyDescent="0.25">
      <c r="C189" s="19"/>
      <c r="D189" s="123" t="s">
        <v>201</v>
      </c>
      <c r="E189" s="49">
        <f>$B$41</f>
        <v>1</v>
      </c>
      <c r="F189" s="21">
        <f>E188*E189</f>
        <v>588.88676000000009</v>
      </c>
      <c r="I189" s="84"/>
      <c r="J189" s="84"/>
    </row>
    <row r="190" spans="1:10" ht="11.25" customHeight="1" x14ac:dyDescent="0.2">
      <c r="I190" s="84"/>
      <c r="J190" s="84"/>
    </row>
    <row r="191" spans="1:10" ht="13.5" thickBot="1" x14ac:dyDescent="0.25">
      <c r="A191" s="9" t="s">
        <v>51</v>
      </c>
      <c r="I191" s="84"/>
      <c r="J191" s="84"/>
    </row>
    <row r="192" spans="1:10" ht="13.5" thickBot="1" x14ac:dyDescent="0.25">
      <c r="A192" s="59" t="s">
        <v>64</v>
      </c>
      <c r="B192" s="60" t="s">
        <v>65</v>
      </c>
      <c r="C192" s="60" t="s">
        <v>40</v>
      </c>
      <c r="D192" s="61" t="s">
        <v>245</v>
      </c>
      <c r="E192" s="61" t="s">
        <v>66</v>
      </c>
      <c r="F192" s="62" t="s">
        <v>67</v>
      </c>
      <c r="I192" s="84"/>
      <c r="J192" s="84"/>
    </row>
    <row r="193" spans="1:10" x14ac:dyDescent="0.2">
      <c r="A193" s="13" t="s">
        <v>12</v>
      </c>
      <c r="B193" s="14" t="s">
        <v>10</v>
      </c>
      <c r="C193" s="15">
        <f>C172</f>
        <v>1</v>
      </c>
      <c r="D193" s="15">
        <f>0.01*($E$161)</f>
        <v>3335</v>
      </c>
      <c r="E193" s="15">
        <f>C193*D193</f>
        <v>3335</v>
      </c>
      <c r="I193" s="84"/>
      <c r="J193" s="84"/>
    </row>
    <row r="194" spans="1:10" x14ac:dyDescent="0.2">
      <c r="A194" s="16" t="s">
        <v>200</v>
      </c>
      <c r="B194" s="17" t="s">
        <v>10</v>
      </c>
      <c r="C194" s="15">
        <f>C172</f>
        <v>1</v>
      </c>
      <c r="D194" s="88">
        <v>300</v>
      </c>
      <c r="E194" s="18">
        <f>C194*D194</f>
        <v>300</v>
      </c>
      <c r="I194" s="84"/>
      <c r="J194" s="84"/>
    </row>
    <row r="195" spans="1:10" x14ac:dyDescent="0.2">
      <c r="A195" s="16" t="s">
        <v>13</v>
      </c>
      <c r="B195" s="17" t="s">
        <v>10</v>
      </c>
      <c r="C195" s="15">
        <f>C172</f>
        <v>1</v>
      </c>
      <c r="D195" s="88">
        <v>2000</v>
      </c>
      <c r="E195" s="18">
        <f>C195*D195</f>
        <v>2000</v>
      </c>
      <c r="F195" s="31"/>
      <c r="I195" s="84"/>
      <c r="J195" s="84"/>
    </row>
    <row r="196" spans="1:10" ht="13.5" thickBot="1" x14ac:dyDescent="0.25">
      <c r="A196" s="102" t="s">
        <v>14</v>
      </c>
      <c r="B196" s="103" t="s">
        <v>8</v>
      </c>
      <c r="C196" s="103">
        <v>12</v>
      </c>
      <c r="D196" s="104">
        <f>SUM(E193:E195)</f>
        <v>5635</v>
      </c>
      <c r="E196" s="104">
        <f>D196/C196</f>
        <v>469.58333333333331</v>
      </c>
      <c r="I196" s="84"/>
      <c r="J196" s="84"/>
    </row>
    <row r="197" spans="1:10" ht="13.5" thickBot="1" x14ac:dyDescent="0.25">
      <c r="D197" s="123" t="s">
        <v>201</v>
      </c>
      <c r="E197" s="49">
        <f>$B$41</f>
        <v>1</v>
      </c>
      <c r="F197" s="124">
        <f>E196*E197</f>
        <v>469.58333333333331</v>
      </c>
      <c r="I197" s="84"/>
      <c r="J197" s="84"/>
    </row>
    <row r="198" spans="1:10" ht="11.25" customHeight="1" x14ac:dyDescent="0.2">
      <c r="I198" s="84"/>
      <c r="J198" s="84"/>
    </row>
    <row r="199" spans="1:10" x14ac:dyDescent="0.2">
      <c r="A199" s="9" t="s">
        <v>52</v>
      </c>
      <c r="B199" s="32"/>
      <c r="I199" s="84"/>
      <c r="J199" s="84"/>
    </row>
    <row r="200" spans="1:10" x14ac:dyDescent="0.2">
      <c r="B200" s="32"/>
      <c r="I200" s="84"/>
      <c r="J200" s="84"/>
    </row>
    <row r="201" spans="1:10" x14ac:dyDescent="0.2">
      <c r="A201" s="102" t="s">
        <v>125</v>
      </c>
      <c r="B201" s="113">
        <v>6920</v>
      </c>
      <c r="I201" s="84"/>
      <c r="J201" s="84"/>
    </row>
    <row r="202" spans="1:10" ht="13.5" thickBot="1" x14ac:dyDescent="0.25">
      <c r="B202" s="32"/>
      <c r="I202" s="84"/>
      <c r="J202" s="84"/>
    </row>
    <row r="203" spans="1:10" ht="13.5" thickBot="1" x14ac:dyDescent="0.25">
      <c r="A203" s="59" t="s">
        <v>64</v>
      </c>
      <c r="B203" s="60" t="s">
        <v>65</v>
      </c>
      <c r="C203" s="60" t="s">
        <v>267</v>
      </c>
      <c r="D203" s="61" t="s">
        <v>245</v>
      </c>
      <c r="E203" s="61" t="s">
        <v>66</v>
      </c>
      <c r="F203" s="62" t="s">
        <v>67</v>
      </c>
      <c r="I203" s="84"/>
      <c r="J203" s="84"/>
    </row>
    <row r="204" spans="1:10" x14ac:dyDescent="0.2">
      <c r="A204" s="13" t="s">
        <v>15</v>
      </c>
      <c r="B204" s="14" t="s">
        <v>16</v>
      </c>
      <c r="C204" s="96">
        <v>1.8</v>
      </c>
      <c r="D204" s="97">
        <v>3.6869999999999998</v>
      </c>
      <c r="E204" s="15"/>
      <c r="I204" s="84"/>
      <c r="J204" s="84"/>
    </row>
    <row r="205" spans="1:10" x14ac:dyDescent="0.2">
      <c r="A205" s="16" t="s">
        <v>17</v>
      </c>
      <c r="B205" s="17" t="s">
        <v>18</v>
      </c>
      <c r="C205" s="93">
        <f>B201</f>
        <v>6920</v>
      </c>
      <c r="D205" s="267">
        <f>IFERROR(+D204/C204,"-")</f>
        <v>2.0483333333333333</v>
      </c>
      <c r="E205" s="18">
        <f>IFERROR(C205*D205,"-")</f>
        <v>14174.466666666667</v>
      </c>
      <c r="I205" s="84"/>
      <c r="J205" s="84"/>
    </row>
    <row r="206" spans="1:10" x14ac:dyDescent="0.2">
      <c r="A206" s="16" t="s">
        <v>246</v>
      </c>
      <c r="B206" s="17" t="s">
        <v>19</v>
      </c>
      <c r="C206" s="99">
        <v>5</v>
      </c>
      <c r="D206" s="88">
        <v>10.88</v>
      </c>
      <c r="E206" s="18"/>
      <c r="G206" s="111"/>
      <c r="H206" s="51"/>
      <c r="I206" s="84"/>
      <c r="J206" s="84"/>
    </row>
    <row r="207" spans="1:10" x14ac:dyDescent="0.2">
      <c r="A207" s="16" t="s">
        <v>20</v>
      </c>
      <c r="B207" s="17" t="s">
        <v>18</v>
      </c>
      <c r="C207" s="93">
        <f>C205</f>
        <v>6920</v>
      </c>
      <c r="D207" s="264">
        <f>+C206*D206/1000</f>
        <v>5.4400000000000004E-2</v>
      </c>
      <c r="E207" s="18">
        <f>C207*D207</f>
        <v>376.44800000000004</v>
      </c>
      <c r="G207" s="111"/>
      <c r="H207" s="51"/>
      <c r="I207" s="84"/>
      <c r="J207" s="84"/>
    </row>
    <row r="208" spans="1:10" x14ac:dyDescent="0.2">
      <c r="A208" s="16" t="s">
        <v>247</v>
      </c>
      <c r="B208" s="17" t="s">
        <v>19</v>
      </c>
      <c r="C208" s="99">
        <v>0.85</v>
      </c>
      <c r="D208" s="88">
        <v>12.78</v>
      </c>
      <c r="E208" s="18"/>
      <c r="G208" s="111"/>
      <c r="H208" s="51"/>
      <c r="I208" s="84"/>
      <c r="J208" s="84"/>
    </row>
    <row r="209" spans="1:10" x14ac:dyDescent="0.2">
      <c r="A209" s="16" t="s">
        <v>21</v>
      </c>
      <c r="B209" s="17" t="s">
        <v>18</v>
      </c>
      <c r="C209" s="93">
        <f>C205</f>
        <v>6920</v>
      </c>
      <c r="D209" s="264">
        <f>+C208*D208/1000</f>
        <v>1.0862999999999999E-2</v>
      </c>
      <c r="E209" s="18">
        <f>C209*D209</f>
        <v>75.171959999999999</v>
      </c>
      <c r="G209" s="111"/>
      <c r="H209" s="51"/>
      <c r="I209" s="84"/>
      <c r="J209" s="84"/>
    </row>
    <row r="210" spans="1:10" x14ac:dyDescent="0.2">
      <c r="A210" s="16" t="s">
        <v>248</v>
      </c>
      <c r="B210" s="17" t="s">
        <v>19</v>
      </c>
      <c r="C210" s="99">
        <v>16.670000000000002</v>
      </c>
      <c r="D210" s="88">
        <v>9.33</v>
      </c>
      <c r="E210" s="18"/>
      <c r="G210" s="111"/>
      <c r="H210" s="51"/>
      <c r="I210" s="84"/>
      <c r="J210" s="84"/>
    </row>
    <row r="211" spans="1:10" x14ac:dyDescent="0.2">
      <c r="A211" s="16" t="s">
        <v>22</v>
      </c>
      <c r="B211" s="17" t="s">
        <v>18</v>
      </c>
      <c r="C211" s="93">
        <f>C205</f>
        <v>6920</v>
      </c>
      <c r="D211" s="264">
        <f>+C210*D210/1000</f>
        <v>0.15553110000000001</v>
      </c>
      <c r="E211" s="18">
        <f>C211*D211</f>
        <v>1076.275212</v>
      </c>
      <c r="G211" s="111"/>
      <c r="H211" s="51"/>
      <c r="I211" s="84"/>
      <c r="J211" s="84"/>
    </row>
    <row r="212" spans="1:10" x14ac:dyDescent="0.2">
      <c r="A212" s="16" t="s">
        <v>23</v>
      </c>
      <c r="B212" s="17" t="s">
        <v>24</v>
      </c>
      <c r="C212" s="99">
        <v>2</v>
      </c>
      <c r="D212" s="88">
        <v>18</v>
      </c>
      <c r="E212" s="18"/>
      <c r="G212" s="111"/>
      <c r="H212" s="51"/>
      <c r="I212" s="84"/>
      <c r="J212" s="84"/>
    </row>
    <row r="213" spans="1:10" x14ac:dyDescent="0.2">
      <c r="A213" s="16" t="s">
        <v>25</v>
      </c>
      <c r="B213" s="17" t="s">
        <v>18</v>
      </c>
      <c r="C213" s="93">
        <f>C205</f>
        <v>6920</v>
      </c>
      <c r="D213" s="264">
        <f>+C212*D212/1000</f>
        <v>3.5999999999999997E-2</v>
      </c>
      <c r="E213" s="18">
        <f>C213*D213</f>
        <v>249.11999999999998</v>
      </c>
      <c r="G213" s="111"/>
      <c r="H213" s="51"/>
      <c r="I213" s="84"/>
      <c r="J213" s="84"/>
    </row>
    <row r="214" spans="1:10" ht="13.5" thickBot="1" x14ac:dyDescent="0.25">
      <c r="A214" s="102" t="s">
        <v>266</v>
      </c>
      <c r="B214" s="103" t="s">
        <v>126</v>
      </c>
      <c r="C214" s="265"/>
      <c r="D214" s="266">
        <f>IFERROR(D205+D207+D209+D211+D213,0)</f>
        <v>2.3051274333333334</v>
      </c>
      <c r="E214" s="18"/>
      <c r="G214" s="111"/>
      <c r="H214" s="51"/>
      <c r="I214" s="84"/>
      <c r="J214" s="84"/>
    </row>
    <row r="215" spans="1:10" ht="13.5" thickBot="1" x14ac:dyDescent="0.25">
      <c r="F215" s="21">
        <f>SUM(E204:E213)</f>
        <v>15951.481838666668</v>
      </c>
      <c r="I215" s="84"/>
      <c r="J215" s="84"/>
    </row>
    <row r="216" spans="1:10" ht="11.25" customHeight="1" x14ac:dyDescent="0.2">
      <c r="I216" s="84"/>
      <c r="J216" s="84"/>
    </row>
    <row r="217" spans="1:10" ht="13.5" thickBot="1" x14ac:dyDescent="0.25">
      <c r="A217" s="9" t="s">
        <v>53</v>
      </c>
      <c r="I217" s="84"/>
      <c r="J217" s="84"/>
    </row>
    <row r="218" spans="1:10" ht="13.5" thickBot="1" x14ac:dyDescent="0.25">
      <c r="A218" s="59" t="s">
        <v>64</v>
      </c>
      <c r="B218" s="60" t="s">
        <v>65</v>
      </c>
      <c r="C218" s="60" t="s">
        <v>40</v>
      </c>
      <c r="D218" s="61" t="s">
        <v>245</v>
      </c>
      <c r="E218" s="61" t="s">
        <v>66</v>
      </c>
      <c r="F218" s="62" t="s">
        <v>67</v>
      </c>
      <c r="I218" s="84"/>
      <c r="J218" s="84"/>
    </row>
    <row r="219" spans="1:10" ht="13.5" thickBot="1" x14ac:dyDescent="0.25">
      <c r="A219" s="13" t="s">
        <v>124</v>
      </c>
      <c r="B219" s="14" t="s">
        <v>126</v>
      </c>
      <c r="C219" s="93">
        <f>C205</f>
        <v>6920</v>
      </c>
      <c r="D219" s="86">
        <v>1.04</v>
      </c>
      <c r="E219" s="15">
        <f>C219*D219</f>
        <v>7196.8</v>
      </c>
      <c r="I219" s="84"/>
      <c r="J219" s="84"/>
    </row>
    <row r="220" spans="1:10" ht="13.5" thickBot="1" x14ac:dyDescent="0.25">
      <c r="F220" s="21">
        <f>E219</f>
        <v>7196.8</v>
      </c>
      <c r="I220" s="84"/>
      <c r="J220" s="84"/>
    </row>
    <row r="221" spans="1:10" ht="11.25" customHeight="1" x14ac:dyDescent="0.2">
      <c r="I221" s="84"/>
      <c r="J221" s="84"/>
    </row>
    <row r="222" spans="1:10" ht="13.5" thickBot="1" x14ac:dyDescent="0.25">
      <c r="A222" s="9" t="s">
        <v>62</v>
      </c>
      <c r="I222" s="84"/>
      <c r="J222" s="84"/>
    </row>
    <row r="223" spans="1:10" ht="13.5" thickBot="1" x14ac:dyDescent="0.25">
      <c r="A223" s="59" t="s">
        <v>64</v>
      </c>
      <c r="B223" s="60" t="s">
        <v>65</v>
      </c>
      <c r="C223" s="60" t="s">
        <v>40</v>
      </c>
      <c r="D223" s="61" t="s">
        <v>245</v>
      </c>
      <c r="E223" s="61" t="s">
        <v>66</v>
      </c>
      <c r="F223" s="62" t="s">
        <v>67</v>
      </c>
      <c r="I223" s="84"/>
      <c r="J223" s="84"/>
    </row>
    <row r="224" spans="1:10" x14ac:dyDescent="0.2">
      <c r="A224" s="299" t="s">
        <v>308</v>
      </c>
      <c r="B224" s="14" t="s">
        <v>10</v>
      </c>
      <c r="C224" s="95">
        <v>10</v>
      </c>
      <c r="D224" s="86">
        <v>2100</v>
      </c>
      <c r="E224" s="15">
        <f>C224*D224</f>
        <v>21000</v>
      </c>
      <c r="I224" s="84"/>
      <c r="J224" s="84"/>
    </row>
    <row r="225" spans="1:10" x14ac:dyDescent="0.2">
      <c r="A225" s="13" t="s">
        <v>127</v>
      </c>
      <c r="B225" s="14" t="s">
        <v>10</v>
      </c>
      <c r="C225" s="95">
        <v>3</v>
      </c>
      <c r="D225" s="105"/>
      <c r="E225" s="15"/>
      <c r="I225" s="84"/>
      <c r="J225" s="84"/>
    </row>
    <row r="226" spans="1:10" x14ac:dyDescent="0.2">
      <c r="A226" s="13" t="s">
        <v>71</v>
      </c>
      <c r="B226" s="14" t="s">
        <v>10</v>
      </c>
      <c r="C226" s="15">
        <f>C224*C225</f>
        <v>30</v>
      </c>
      <c r="D226" s="86">
        <v>537</v>
      </c>
      <c r="E226" s="15">
        <f>C226*D226</f>
        <v>16110</v>
      </c>
      <c r="I226" s="84"/>
      <c r="J226" s="84"/>
    </row>
    <row r="227" spans="1:10" x14ac:dyDescent="0.2">
      <c r="A227" s="16" t="s">
        <v>98</v>
      </c>
      <c r="B227" s="17" t="s">
        <v>26</v>
      </c>
      <c r="C227" s="98">
        <v>40000</v>
      </c>
      <c r="D227" s="18">
        <f>E224+E226</f>
        <v>37110</v>
      </c>
      <c r="E227" s="18">
        <f>IFERROR(D227/C227,"-")</f>
        <v>0.92774999999999996</v>
      </c>
      <c r="I227" s="84"/>
      <c r="J227" s="84"/>
    </row>
    <row r="228" spans="1:10" ht="13.5" thickBot="1" x14ac:dyDescent="0.25">
      <c r="A228" s="16" t="s">
        <v>55</v>
      </c>
      <c r="B228" s="17" t="s">
        <v>18</v>
      </c>
      <c r="C228" s="93">
        <f>B201</f>
        <v>6920</v>
      </c>
      <c r="D228" s="18">
        <f>E227</f>
        <v>0.92774999999999996</v>
      </c>
      <c r="E228" s="18">
        <f>IFERROR(C228*D228,0)</f>
        <v>6420.03</v>
      </c>
      <c r="I228" s="84"/>
      <c r="J228" s="84"/>
    </row>
    <row r="229" spans="1:10" ht="13.5" thickBot="1" x14ac:dyDescent="0.25">
      <c r="F229" s="21">
        <f>E228</f>
        <v>6420.03</v>
      </c>
      <c r="I229" s="84"/>
      <c r="J229" s="84"/>
    </row>
    <row r="230" spans="1:10" ht="11.25" customHeight="1" x14ac:dyDescent="0.2">
      <c r="I230" s="84"/>
      <c r="J230" s="84"/>
    </row>
    <row r="231" spans="1:10" ht="11.25" customHeight="1" thickBot="1" x14ac:dyDescent="0.25">
      <c r="G231" s="9"/>
    </row>
    <row r="232" spans="1:10" ht="13.5" thickBot="1" x14ac:dyDescent="0.25">
      <c r="A232" s="24" t="s">
        <v>233</v>
      </c>
      <c r="B232" s="25"/>
      <c r="C232" s="25"/>
      <c r="D232" s="26"/>
      <c r="E232" s="27"/>
      <c r="F232" s="21">
        <f>+SUM(F161:F231)</f>
        <v>35067.261932000001</v>
      </c>
      <c r="G232" s="9"/>
    </row>
    <row r="233" spans="1:10" ht="11.25" customHeight="1" x14ac:dyDescent="0.2">
      <c r="G233" s="9"/>
    </row>
    <row r="234" spans="1:10" x14ac:dyDescent="0.2">
      <c r="A234" s="34" t="s">
        <v>75</v>
      </c>
      <c r="B234" s="34"/>
      <c r="C234" s="34"/>
      <c r="D234" s="35"/>
      <c r="E234" s="35"/>
      <c r="F234" s="33"/>
      <c r="G234" s="9"/>
    </row>
    <row r="235" spans="1:10" ht="11.25" customHeight="1" thickBot="1" x14ac:dyDescent="0.25">
      <c r="G235" s="9"/>
    </row>
    <row r="236" spans="1:10" ht="13.5" thickBot="1" x14ac:dyDescent="0.25">
      <c r="A236" s="59" t="s">
        <v>64</v>
      </c>
      <c r="B236" s="60" t="s">
        <v>65</v>
      </c>
      <c r="C236" s="60" t="s">
        <v>40</v>
      </c>
      <c r="D236" s="61" t="s">
        <v>245</v>
      </c>
      <c r="E236" s="61" t="s">
        <v>66</v>
      </c>
      <c r="F236" s="62" t="s">
        <v>67</v>
      </c>
      <c r="G236" s="9"/>
    </row>
    <row r="237" spans="1:10" x14ac:dyDescent="0.2">
      <c r="A237" s="16" t="s">
        <v>72</v>
      </c>
      <c r="B237" s="17" t="s">
        <v>10</v>
      </c>
      <c r="C237" s="100">
        <v>0.33333333333333331</v>
      </c>
      <c r="D237" s="86">
        <v>35</v>
      </c>
      <c r="E237" s="18">
        <f>C237*D237</f>
        <v>11.666666666666666</v>
      </c>
      <c r="F237" s="54"/>
      <c r="G237" s="9"/>
    </row>
    <row r="238" spans="1:10" x14ac:dyDescent="0.2">
      <c r="A238" s="16" t="s">
        <v>27</v>
      </c>
      <c r="B238" s="17" t="s">
        <v>10</v>
      </c>
      <c r="C238" s="100">
        <v>0.33333333333333331</v>
      </c>
      <c r="D238" s="86">
        <v>20</v>
      </c>
      <c r="E238" s="18">
        <f>C238*D238</f>
        <v>6.6666666666666661</v>
      </c>
      <c r="F238" s="54"/>
      <c r="G238" s="9"/>
    </row>
    <row r="239" spans="1:10" x14ac:dyDescent="0.2">
      <c r="A239" s="16" t="s">
        <v>28</v>
      </c>
      <c r="B239" s="17" t="s">
        <v>10</v>
      </c>
      <c r="C239" s="100">
        <v>0.33333333333333331</v>
      </c>
      <c r="D239" s="86">
        <v>15</v>
      </c>
      <c r="E239" s="18">
        <f>C239*D239</f>
        <v>5</v>
      </c>
      <c r="F239" s="54"/>
      <c r="G239" s="9"/>
    </row>
    <row r="240" spans="1:10" x14ac:dyDescent="0.2">
      <c r="A240" s="16" t="s">
        <v>57</v>
      </c>
      <c r="B240" s="17" t="s">
        <v>58</v>
      </c>
      <c r="C240" s="100">
        <v>0.16666666666666666</v>
      </c>
      <c r="D240" s="86">
        <v>30</v>
      </c>
      <c r="E240" s="18">
        <f>C240*D240</f>
        <v>5</v>
      </c>
      <c r="F240" s="54"/>
      <c r="G240" s="9"/>
    </row>
    <row r="241" spans="1:7" ht="13.5" thickBot="1" x14ac:dyDescent="0.25">
      <c r="A241" s="16" t="s">
        <v>60</v>
      </c>
      <c r="B241" s="17" t="s">
        <v>58</v>
      </c>
      <c r="C241" s="100">
        <v>0.16666666666666666</v>
      </c>
      <c r="D241" s="86">
        <v>30</v>
      </c>
      <c r="E241" s="18">
        <f>C241*D241</f>
        <v>5</v>
      </c>
      <c r="F241" s="54"/>
      <c r="G241" s="9"/>
    </row>
    <row r="242" spans="1:7" ht="13.5" thickBot="1" x14ac:dyDescent="0.25">
      <c r="A242" s="34"/>
      <c r="B242" s="34"/>
      <c r="C242" s="34"/>
      <c r="D242" s="34"/>
      <c r="E242" s="35"/>
      <c r="F242" s="21">
        <f>SUM(E237:E241)</f>
        <v>33.333333333333329</v>
      </c>
      <c r="G242" s="9"/>
    </row>
    <row r="243" spans="1:7" ht="11.25" customHeight="1" thickBot="1" x14ac:dyDescent="0.25">
      <c r="G243" s="9"/>
    </row>
    <row r="244" spans="1:7" ht="13.5" thickBot="1" x14ac:dyDescent="0.25">
      <c r="A244" s="24" t="s">
        <v>234</v>
      </c>
      <c r="B244" s="25"/>
      <c r="C244" s="25"/>
      <c r="D244" s="26"/>
      <c r="E244" s="27"/>
      <c r="F244" s="21">
        <f>+F242</f>
        <v>33.333333333333329</v>
      </c>
      <c r="G244" s="9"/>
    </row>
    <row r="245" spans="1:7" ht="11.25" customHeight="1" x14ac:dyDescent="0.2">
      <c r="G245" s="9"/>
    </row>
    <row r="246" spans="1:7" x14ac:dyDescent="0.2">
      <c r="A246" s="34" t="s">
        <v>76</v>
      </c>
      <c r="B246" s="34"/>
      <c r="C246" s="34"/>
      <c r="D246" s="35"/>
      <c r="E246" s="35"/>
      <c r="F246" s="33"/>
    </row>
    <row r="247" spans="1:7" ht="11.25" customHeight="1" thickBot="1" x14ac:dyDescent="0.25"/>
    <row r="248" spans="1:7" ht="13.5" thickBot="1" x14ac:dyDescent="0.25">
      <c r="A248" s="59" t="s">
        <v>64</v>
      </c>
      <c r="B248" s="60" t="s">
        <v>65</v>
      </c>
      <c r="C248" s="60" t="s">
        <v>40</v>
      </c>
      <c r="D248" s="61" t="s">
        <v>245</v>
      </c>
      <c r="E248" s="61" t="s">
        <v>66</v>
      </c>
      <c r="F248" s="62" t="s">
        <v>67</v>
      </c>
    </row>
    <row r="249" spans="1:7" x14ac:dyDescent="0.2">
      <c r="A249" s="16" t="s">
        <v>231</v>
      </c>
      <c r="B249" s="52" t="s">
        <v>58</v>
      </c>
      <c r="C249" s="68">
        <f>C161</f>
        <v>1</v>
      </c>
      <c r="D249" s="88">
        <v>70</v>
      </c>
      <c r="E249" s="18">
        <f>+D249*C249</f>
        <v>70</v>
      </c>
      <c r="F249" s="54"/>
    </row>
    <row r="250" spans="1:7" x14ac:dyDescent="0.2">
      <c r="A250" s="16" t="s">
        <v>61</v>
      </c>
      <c r="B250" s="52" t="s">
        <v>8</v>
      </c>
      <c r="C250" s="154">
        <v>60</v>
      </c>
      <c r="D250" s="79">
        <f>SUM(E249:E249)</f>
        <v>70</v>
      </c>
      <c r="E250" s="79">
        <f>+D250/C250</f>
        <v>1.1666666666666667</v>
      </c>
      <c r="F250" s="54"/>
    </row>
    <row r="251" spans="1:7" x14ac:dyDescent="0.2">
      <c r="A251" s="16" t="s">
        <v>232</v>
      </c>
      <c r="B251" s="17" t="s">
        <v>10</v>
      </c>
      <c r="C251" s="68">
        <f>+C249</f>
        <v>1</v>
      </c>
      <c r="D251" s="88">
        <v>80</v>
      </c>
      <c r="E251" s="18">
        <f>C251*D251</f>
        <v>80</v>
      </c>
      <c r="F251" s="54"/>
    </row>
    <row r="252" spans="1:7" ht="13.5" thickBot="1" x14ac:dyDescent="0.25">
      <c r="A252" s="16" t="s">
        <v>37</v>
      </c>
      <c r="B252" s="52" t="s">
        <v>8</v>
      </c>
      <c r="C252" s="154">
        <v>1</v>
      </c>
      <c r="D252" s="79">
        <f>+E251</f>
        <v>80</v>
      </c>
      <c r="E252" s="79">
        <f>+D252/C252</f>
        <v>80</v>
      </c>
      <c r="F252" s="54"/>
    </row>
    <row r="253" spans="1:7" ht="13.5" thickBot="1" x14ac:dyDescent="0.25">
      <c r="A253" s="80"/>
      <c r="B253" s="80"/>
      <c r="C253" s="80"/>
      <c r="D253" s="123" t="s">
        <v>201</v>
      </c>
      <c r="E253" s="49">
        <f>$B$41</f>
        <v>1</v>
      </c>
      <c r="F253" s="81">
        <f>(E250+E252)*E253</f>
        <v>81.166666666666671</v>
      </c>
    </row>
    <row r="254" spans="1:7" s="50" customFormat="1" ht="11.25" customHeight="1" thickBot="1" x14ac:dyDescent="0.25">
      <c r="A254" s="9"/>
      <c r="B254" s="9"/>
      <c r="C254" s="9"/>
      <c r="D254" s="10"/>
      <c r="E254" s="10"/>
      <c r="F254" s="10"/>
      <c r="G254" s="83"/>
    </row>
    <row r="255" spans="1:7" ht="13.5" thickBot="1" x14ac:dyDescent="0.25">
      <c r="A255" s="24" t="s">
        <v>230</v>
      </c>
      <c r="B255" s="25"/>
      <c r="C255" s="25"/>
      <c r="D255" s="26"/>
      <c r="E255" s="27"/>
      <c r="F255" s="21">
        <f>+F253</f>
        <v>81.166666666666671</v>
      </c>
    </row>
    <row r="256" spans="1:7" ht="11.25" customHeight="1" thickBot="1" x14ac:dyDescent="0.25"/>
    <row r="257" spans="1:7" ht="17.25" customHeight="1" thickBot="1" x14ac:dyDescent="0.25">
      <c r="A257" s="24" t="s">
        <v>235</v>
      </c>
      <c r="B257" s="28"/>
      <c r="C257" s="28"/>
      <c r="D257" s="29"/>
      <c r="E257" s="30"/>
      <c r="F257" s="22">
        <f>+F119+F153+F232+F244+F255</f>
        <v>63843.744758237903</v>
      </c>
    </row>
    <row r="258" spans="1:7" ht="11.25" customHeight="1" x14ac:dyDescent="0.2"/>
    <row r="259" spans="1:7" x14ac:dyDescent="0.2">
      <c r="A259" s="11" t="s">
        <v>91</v>
      </c>
    </row>
    <row r="260" spans="1:7" ht="11.25" customHeight="1" thickBot="1" x14ac:dyDescent="0.25"/>
    <row r="261" spans="1:7" ht="13.5" thickBot="1" x14ac:dyDescent="0.25">
      <c r="A261" s="59" t="s">
        <v>64</v>
      </c>
      <c r="B261" s="60" t="s">
        <v>65</v>
      </c>
      <c r="C261" s="60" t="s">
        <v>40</v>
      </c>
      <c r="D261" s="61" t="s">
        <v>245</v>
      </c>
      <c r="E261" s="61" t="s">
        <v>66</v>
      </c>
      <c r="F261" s="62" t="s">
        <v>67</v>
      </c>
    </row>
    <row r="262" spans="1:7" ht="13.5" thickBot="1" x14ac:dyDescent="0.25">
      <c r="A262" s="13" t="s">
        <v>36</v>
      </c>
      <c r="B262" s="14" t="s">
        <v>2</v>
      </c>
      <c r="C262" s="140">
        <f>'4.BDI'!C20*100</f>
        <v>28.04</v>
      </c>
      <c r="D262" s="15">
        <f>+F257</f>
        <v>63843.744758237903</v>
      </c>
      <c r="E262" s="15">
        <f>C262*D262/100</f>
        <v>17901.786030209907</v>
      </c>
    </row>
    <row r="263" spans="1:7" ht="13.5" thickBot="1" x14ac:dyDescent="0.25">
      <c r="F263" s="21">
        <f>+E262</f>
        <v>17901.786030209907</v>
      </c>
    </row>
    <row r="264" spans="1:7" ht="11.25" customHeight="1" thickBot="1" x14ac:dyDescent="0.25"/>
    <row r="265" spans="1:7" ht="13.5" thickBot="1" x14ac:dyDescent="0.25">
      <c r="A265" s="24" t="s">
        <v>250</v>
      </c>
      <c r="B265" s="28"/>
      <c r="C265" s="28"/>
      <c r="D265" s="29"/>
      <c r="E265" s="30"/>
      <c r="F265" s="22">
        <f>F263</f>
        <v>17901.786030209907</v>
      </c>
    </row>
    <row r="266" spans="1:7" x14ac:dyDescent="0.2">
      <c r="A266" s="34"/>
      <c r="B266" s="34"/>
      <c r="C266" s="34"/>
      <c r="D266" s="35"/>
      <c r="E266" s="35"/>
      <c r="F266" s="33"/>
    </row>
    <row r="267" spans="1:7" x14ac:dyDescent="0.2">
      <c r="A267" s="34"/>
      <c r="B267" s="34"/>
      <c r="C267" s="34"/>
      <c r="D267" s="35"/>
      <c r="E267" s="35"/>
      <c r="F267" s="33"/>
    </row>
    <row r="268" spans="1:7" ht="11.25" customHeight="1" thickBot="1" x14ac:dyDescent="0.25"/>
    <row r="269" spans="1:7" ht="24.75" customHeight="1" thickBot="1" x14ac:dyDescent="0.25">
      <c r="A269" s="24" t="s">
        <v>236</v>
      </c>
      <c r="B269" s="28"/>
      <c r="C269" s="28"/>
      <c r="D269" s="29"/>
      <c r="E269" s="30"/>
      <c r="F269" s="22">
        <f>F257+F265</f>
        <v>81745.53078844781</v>
      </c>
    </row>
    <row r="270" spans="1:7" ht="12.6" customHeight="1" x14ac:dyDescent="0.2">
      <c r="A270" s="55"/>
      <c r="B270" s="55"/>
      <c r="C270" s="55"/>
      <c r="D270" s="56"/>
      <c r="E270" s="56"/>
      <c r="F270" s="56"/>
    </row>
    <row r="271" spans="1:7" s="4" customFormat="1" ht="9.75" customHeight="1" x14ac:dyDescent="0.2">
      <c r="A271" s="55" t="s">
        <v>311</v>
      </c>
      <c r="B271" s="55"/>
      <c r="C271" s="55"/>
      <c r="D271" s="56"/>
      <c r="E271" s="56"/>
      <c r="F271" s="56"/>
      <c r="G271" s="6"/>
    </row>
    <row r="272" spans="1:7" x14ac:dyDescent="0.2">
      <c r="A272" s="343" t="s">
        <v>312</v>
      </c>
      <c r="B272" s="343"/>
      <c r="C272" s="343"/>
      <c r="D272" s="343"/>
      <c r="E272" s="343"/>
      <c r="F272" s="343"/>
    </row>
    <row r="273" spans="1:6" ht="29.25" customHeight="1" x14ac:dyDescent="0.2">
      <c r="A273" s="346" t="s">
        <v>313</v>
      </c>
      <c r="B273" s="346"/>
      <c r="C273" s="346"/>
      <c r="D273" s="346"/>
      <c r="E273" s="346"/>
      <c r="F273" s="346"/>
    </row>
    <row r="274" spans="1:6" ht="53.25" customHeight="1" x14ac:dyDescent="0.2">
      <c r="A274" s="343" t="s">
        <v>314</v>
      </c>
      <c r="B274" s="343"/>
      <c r="C274" s="343"/>
      <c r="D274" s="343"/>
      <c r="E274" s="343"/>
      <c r="F274" s="343"/>
    </row>
    <row r="275" spans="1:6" ht="28.5" customHeight="1" x14ac:dyDescent="0.2">
      <c r="A275" s="346" t="s">
        <v>315</v>
      </c>
      <c r="B275" s="346"/>
      <c r="C275" s="346"/>
      <c r="D275" s="346"/>
      <c r="E275" s="346"/>
      <c r="F275" s="346"/>
    </row>
    <row r="276" spans="1:6" ht="27" customHeight="1" x14ac:dyDescent="0.2">
      <c r="A276" s="346" t="s">
        <v>316</v>
      </c>
      <c r="B276" s="346"/>
      <c r="C276" s="346"/>
      <c r="D276" s="346"/>
      <c r="E276" s="346"/>
      <c r="F276" s="346"/>
    </row>
    <row r="277" spans="1:6" x14ac:dyDescent="0.2">
      <c r="A277" s="344" t="s">
        <v>317</v>
      </c>
      <c r="B277" s="344"/>
      <c r="C277" s="344"/>
      <c r="D277" s="344"/>
      <c r="E277" s="344"/>
      <c r="F277" s="344"/>
    </row>
    <row r="278" spans="1:6" ht="27" customHeight="1" x14ac:dyDescent="0.2">
      <c r="A278" s="346" t="s">
        <v>318</v>
      </c>
      <c r="B278" s="346"/>
      <c r="C278" s="346"/>
      <c r="D278" s="346"/>
      <c r="E278" s="346"/>
      <c r="F278" s="346"/>
    </row>
    <row r="279" spans="1:6" ht="45.75" customHeight="1" x14ac:dyDescent="0.2">
      <c r="A279" s="346" t="s">
        <v>319</v>
      </c>
      <c r="B279" s="346"/>
      <c r="C279" s="346"/>
      <c r="D279" s="346"/>
      <c r="E279" s="346"/>
      <c r="F279" s="346"/>
    </row>
    <row r="280" spans="1:6" ht="27" customHeight="1" x14ac:dyDescent="0.2">
      <c r="A280" s="344" t="s">
        <v>320</v>
      </c>
      <c r="B280" s="344"/>
      <c r="C280" s="344"/>
      <c r="D280" s="344"/>
      <c r="E280" s="344"/>
      <c r="F280" s="344"/>
    </row>
    <row r="281" spans="1:6" ht="30" customHeight="1" x14ac:dyDescent="0.2">
      <c r="A281" s="343" t="s">
        <v>321</v>
      </c>
      <c r="B281" s="343"/>
      <c r="C281" s="343"/>
      <c r="D281" s="343"/>
      <c r="E281" s="343"/>
      <c r="F281" s="343"/>
    </row>
    <row r="282" spans="1:6" ht="24.75" customHeight="1" x14ac:dyDescent="0.2">
      <c r="A282" s="343" t="s">
        <v>323</v>
      </c>
      <c r="B282" s="343"/>
      <c r="C282" s="343"/>
      <c r="D282" s="343"/>
      <c r="E282" s="343"/>
      <c r="F282" s="343"/>
    </row>
    <row r="283" spans="1:6" ht="21" customHeight="1" x14ac:dyDescent="0.2">
      <c r="A283" s="345" t="s">
        <v>322</v>
      </c>
      <c r="B283" s="345"/>
      <c r="C283" s="345"/>
      <c r="D283" s="345"/>
      <c r="E283" s="345"/>
      <c r="F283" s="345"/>
    </row>
    <row r="301" spans="4:7" ht="9" customHeight="1" x14ac:dyDescent="0.2">
      <c r="D301" s="9"/>
      <c r="E301" s="9"/>
      <c r="F301" s="9"/>
      <c r="G301" s="9"/>
    </row>
  </sheetData>
  <mergeCells count="19">
    <mergeCell ref="A283:F283"/>
    <mergeCell ref="A272:F272"/>
    <mergeCell ref="A278:F278"/>
    <mergeCell ref="A279:F279"/>
    <mergeCell ref="A280:F280"/>
    <mergeCell ref="A281:F281"/>
    <mergeCell ref="A282:F282"/>
    <mergeCell ref="A273:F273"/>
    <mergeCell ref="A274:F274"/>
    <mergeCell ref="A275:F275"/>
    <mergeCell ref="A276:F276"/>
    <mergeCell ref="A277:F277"/>
    <mergeCell ref="A37:D37"/>
    <mergeCell ref="A14:C14"/>
    <mergeCell ref="A1:F1"/>
    <mergeCell ref="A2:F2"/>
    <mergeCell ref="A30:D30"/>
    <mergeCell ref="A4:F4"/>
    <mergeCell ref="A29:E29"/>
  </mergeCells>
  <phoneticPr fontId="9" type="noConversion"/>
  <hyperlinks>
    <hyperlink ref="A175" location="AbaRemun" display="3.1.2. Remuneração do Capital"/>
    <hyperlink ref="A159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r:id="rId1"/>
  <headerFooter alignWithMargins="0">
    <oddFooter>&amp;R&amp;P de &amp;N</oddFooter>
  </headerFooter>
  <rowBreaks count="4" manualBreakCount="4">
    <brk id="42" max="5" man="1"/>
    <brk id="98" max="5" man="1"/>
    <brk id="154" max="5" man="1"/>
    <brk id="22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16"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209</v>
      </c>
    </row>
    <row r="2" spans="1:12" x14ac:dyDescent="0.2">
      <c r="A2" s="139" t="s">
        <v>257</v>
      </c>
    </row>
    <row r="3" spans="1:12" s="4" customFormat="1" ht="15.6" customHeight="1" x14ac:dyDescent="0.2">
      <c r="B3" s="138"/>
      <c r="C3" s="138"/>
      <c r="D3" s="138"/>
      <c r="E3" s="138"/>
      <c r="F3" s="138"/>
      <c r="G3" s="6"/>
    </row>
    <row r="4" spans="1:12" s="4" customFormat="1" ht="15.6" customHeight="1" x14ac:dyDescent="0.2">
      <c r="A4" s="296" t="s">
        <v>301</v>
      </c>
      <c r="B4" s="138"/>
      <c r="C4" s="138"/>
      <c r="D4" s="138"/>
      <c r="E4" s="138"/>
      <c r="F4" s="138"/>
      <c r="G4" s="6"/>
    </row>
    <row r="5" spans="1:12" s="4" customFormat="1" ht="16.5" customHeight="1" x14ac:dyDescent="0.2">
      <c r="A5" s="296" t="s">
        <v>298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23" t="s">
        <v>239</v>
      </c>
      <c r="B7" s="324"/>
      <c r="C7" s="325"/>
      <c r="D7" s="149"/>
      <c r="E7" s="149"/>
      <c r="F7" s="149"/>
    </row>
    <row r="8" spans="1:12" ht="14.25" x14ac:dyDescent="0.2">
      <c r="A8" s="168" t="s">
        <v>147</v>
      </c>
      <c r="B8" s="169" t="s">
        <v>148</v>
      </c>
      <c r="C8" s="170" t="s">
        <v>149</v>
      </c>
      <c r="D8" s="171"/>
    </row>
    <row r="9" spans="1:12" ht="14.25" x14ac:dyDescent="0.2">
      <c r="A9" s="168" t="s">
        <v>150</v>
      </c>
      <c r="B9" s="169" t="s">
        <v>41</v>
      </c>
      <c r="C9" s="172">
        <v>0.2</v>
      </c>
      <c r="D9" s="171"/>
      <c r="F9" s="157"/>
      <c r="G9" s="157"/>
      <c r="H9" s="157"/>
      <c r="I9" s="157"/>
      <c r="J9" s="157"/>
      <c r="K9" s="157"/>
      <c r="L9" s="157"/>
    </row>
    <row r="10" spans="1:12" ht="14.25" x14ac:dyDescent="0.2">
      <c r="A10" s="168" t="s">
        <v>151</v>
      </c>
      <c r="B10" s="169" t="s">
        <v>152</v>
      </c>
      <c r="C10" s="172">
        <v>1.4999999999999999E-2</v>
      </c>
      <c r="D10" s="171"/>
      <c r="F10" s="157"/>
      <c r="G10" s="157"/>
      <c r="H10" s="157"/>
      <c r="I10" s="157"/>
      <c r="J10" s="157"/>
      <c r="K10" s="157"/>
      <c r="L10" s="157"/>
    </row>
    <row r="11" spans="1:12" ht="14.25" x14ac:dyDescent="0.2">
      <c r="A11" s="168" t="s">
        <v>153</v>
      </c>
      <c r="B11" s="169" t="s">
        <v>154</v>
      </c>
      <c r="C11" s="172">
        <v>0.01</v>
      </c>
      <c r="D11" s="171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68" t="s">
        <v>155</v>
      </c>
      <c r="B12" s="169" t="s">
        <v>156</v>
      </c>
      <c r="C12" s="172">
        <v>2E-3</v>
      </c>
      <c r="D12" s="171"/>
      <c r="F12" s="157"/>
      <c r="G12" s="157"/>
      <c r="H12" s="157"/>
      <c r="I12" s="157"/>
      <c r="J12" s="157"/>
      <c r="K12" s="157"/>
      <c r="L12" s="157"/>
    </row>
    <row r="13" spans="1:12" ht="14.25" x14ac:dyDescent="0.2">
      <c r="A13" s="168" t="s">
        <v>157</v>
      </c>
      <c r="B13" s="169" t="s">
        <v>158</v>
      </c>
      <c r="C13" s="172">
        <v>6.0000000000000001E-3</v>
      </c>
      <c r="D13" s="171"/>
      <c r="F13" s="157"/>
      <c r="G13" s="157"/>
      <c r="H13" s="157"/>
      <c r="I13" s="157"/>
      <c r="J13" s="157"/>
      <c r="K13" s="157"/>
      <c r="L13" s="157"/>
    </row>
    <row r="14" spans="1:12" ht="14.25" x14ac:dyDescent="0.2">
      <c r="A14" s="168" t="s">
        <v>159</v>
      </c>
      <c r="B14" s="169" t="s">
        <v>160</v>
      </c>
      <c r="C14" s="172">
        <v>2.5000000000000001E-2</v>
      </c>
      <c r="D14" s="171"/>
      <c r="F14" s="157"/>
      <c r="G14" s="157"/>
      <c r="H14" s="157"/>
      <c r="I14" s="157"/>
      <c r="J14" s="157"/>
      <c r="K14" s="157"/>
      <c r="L14" s="157"/>
    </row>
    <row r="15" spans="1:12" ht="14.25" x14ac:dyDescent="0.2">
      <c r="A15" s="168" t="s">
        <v>161</v>
      </c>
      <c r="B15" s="169" t="s">
        <v>162</v>
      </c>
      <c r="C15" s="172">
        <v>0.03</v>
      </c>
      <c r="D15" s="171"/>
      <c r="F15" s="157"/>
      <c r="G15" s="157"/>
      <c r="H15" s="157"/>
      <c r="I15" s="157"/>
      <c r="J15" s="157"/>
      <c r="K15" s="157"/>
      <c r="L15" s="157"/>
    </row>
    <row r="16" spans="1:12" ht="14.25" x14ac:dyDescent="0.2">
      <c r="A16" s="168" t="s">
        <v>163</v>
      </c>
      <c r="B16" s="169" t="s">
        <v>42</v>
      </c>
      <c r="C16" s="172">
        <v>0.08</v>
      </c>
      <c r="D16" s="173"/>
      <c r="F16" s="157"/>
      <c r="G16" s="157"/>
      <c r="H16" s="157"/>
      <c r="I16" s="157"/>
      <c r="J16" s="157"/>
      <c r="K16" s="157"/>
      <c r="L16" s="157"/>
    </row>
    <row r="17" spans="1:12" ht="15" x14ac:dyDescent="0.2">
      <c r="A17" s="168" t="s">
        <v>164</v>
      </c>
      <c r="B17" s="174" t="s">
        <v>165</v>
      </c>
      <c r="C17" s="175">
        <f>SUM(C9:C16)</f>
        <v>0.36800000000000005</v>
      </c>
      <c r="D17" s="173"/>
      <c r="F17" s="157"/>
      <c r="G17" s="157"/>
      <c r="H17" s="157"/>
      <c r="I17" s="157"/>
      <c r="J17" s="157"/>
      <c r="K17" s="157"/>
      <c r="L17" s="157"/>
    </row>
    <row r="18" spans="1:12" ht="15" x14ac:dyDescent="0.2">
      <c r="A18" s="176"/>
      <c r="B18" s="177"/>
      <c r="C18" s="178"/>
      <c r="D18" s="173"/>
      <c r="F18" s="157"/>
      <c r="G18" s="157"/>
      <c r="H18" s="157"/>
      <c r="I18" s="157"/>
      <c r="J18" s="157"/>
      <c r="K18" s="157"/>
      <c r="L18" s="157"/>
    </row>
    <row r="19" spans="1:12" ht="14.25" x14ac:dyDescent="0.2">
      <c r="A19" s="168" t="s">
        <v>166</v>
      </c>
      <c r="B19" s="179" t="s">
        <v>167</v>
      </c>
      <c r="C19" s="172">
        <f>ROUND(IF('3.CAGED'!C32&gt;24,(1-12/'3.CAGED'!C32)*0.1111,0.1111-C28),4)</f>
        <v>5.67E-2</v>
      </c>
      <c r="D19" s="173"/>
      <c r="F19" s="157"/>
      <c r="G19" s="157"/>
      <c r="H19" s="157"/>
      <c r="I19" s="157"/>
      <c r="J19" s="157"/>
      <c r="K19" s="157"/>
      <c r="L19" s="157"/>
    </row>
    <row r="20" spans="1:12" ht="14.25" x14ac:dyDescent="0.2">
      <c r="A20" s="168" t="s">
        <v>168</v>
      </c>
      <c r="B20" s="179" t="s">
        <v>169</v>
      </c>
      <c r="C20" s="172">
        <f>ROUND('3.CAGED'!C36/'3.CAGED'!C33,4)</f>
        <v>8.3299999999999999E-2</v>
      </c>
      <c r="D20" s="173"/>
      <c r="F20" s="157"/>
      <c r="G20" s="157"/>
      <c r="H20" s="157"/>
      <c r="I20" s="157"/>
      <c r="J20" s="157"/>
      <c r="K20" s="157"/>
      <c r="L20" s="157"/>
    </row>
    <row r="21" spans="1:12" ht="14.25" x14ac:dyDescent="0.2">
      <c r="A21" s="168" t="s">
        <v>228</v>
      </c>
      <c r="B21" s="179" t="s">
        <v>171</v>
      </c>
      <c r="C21" s="172">
        <v>5.9999999999999995E-4</v>
      </c>
      <c r="D21" s="173"/>
      <c r="F21" s="157"/>
      <c r="G21" s="157"/>
      <c r="H21" s="157"/>
      <c r="I21" s="157"/>
      <c r="J21" s="157"/>
      <c r="K21" s="157"/>
      <c r="L21" s="157"/>
    </row>
    <row r="22" spans="1:12" ht="14.25" x14ac:dyDescent="0.2">
      <c r="A22" s="168" t="s">
        <v>170</v>
      </c>
      <c r="B22" s="179" t="s">
        <v>173</v>
      </c>
      <c r="C22" s="172">
        <v>8.2000000000000007E-3</v>
      </c>
      <c r="D22" s="173"/>
      <c r="F22" s="157"/>
      <c r="G22" s="157"/>
      <c r="H22" s="157"/>
      <c r="I22" s="157"/>
      <c r="J22" s="157"/>
      <c r="K22" s="157"/>
      <c r="L22" s="157"/>
    </row>
    <row r="23" spans="1:12" ht="14.25" x14ac:dyDescent="0.2">
      <c r="A23" s="168" t="s">
        <v>172</v>
      </c>
      <c r="B23" s="179" t="s">
        <v>175</v>
      </c>
      <c r="C23" s="172">
        <v>3.0999999999999999E-3</v>
      </c>
      <c r="D23" s="173"/>
      <c r="F23" s="157"/>
      <c r="G23" s="157"/>
      <c r="H23" s="157"/>
      <c r="I23" s="157"/>
      <c r="J23" s="157"/>
      <c r="K23" s="157"/>
      <c r="L23" s="157"/>
    </row>
    <row r="24" spans="1:12" ht="14.25" x14ac:dyDescent="0.2">
      <c r="A24" s="168" t="s">
        <v>174</v>
      </c>
      <c r="B24" s="179" t="s">
        <v>176</v>
      </c>
      <c r="C24" s="172">
        <v>1.66E-2</v>
      </c>
      <c r="D24" s="173"/>
      <c r="F24" s="157"/>
      <c r="G24" s="157"/>
      <c r="H24" s="157"/>
      <c r="I24" s="157"/>
      <c r="J24" s="157"/>
      <c r="K24" s="157"/>
      <c r="L24" s="157"/>
    </row>
    <row r="25" spans="1:12" ht="15" x14ac:dyDescent="0.2">
      <c r="A25" s="168" t="s">
        <v>177</v>
      </c>
      <c r="B25" s="174" t="s">
        <v>178</v>
      </c>
      <c r="C25" s="175">
        <f>SUM(C19:C24)</f>
        <v>0.16850000000000001</v>
      </c>
      <c r="D25" s="180"/>
      <c r="F25" s="157"/>
      <c r="G25" s="157"/>
      <c r="H25" s="157"/>
      <c r="I25" s="157"/>
      <c r="J25" s="157"/>
      <c r="K25" s="157"/>
      <c r="L25" s="157"/>
    </row>
    <row r="26" spans="1:12" ht="15" x14ac:dyDescent="0.2">
      <c r="A26" s="176"/>
      <c r="B26" s="177"/>
      <c r="C26" s="178"/>
      <c r="D26" s="180"/>
      <c r="F26" s="157"/>
      <c r="G26" s="157"/>
      <c r="H26" s="157"/>
      <c r="I26" s="157"/>
      <c r="J26" s="157"/>
      <c r="K26" s="157"/>
      <c r="L26" s="157"/>
    </row>
    <row r="27" spans="1:12" ht="14.25" x14ac:dyDescent="0.2">
      <c r="A27" s="168" t="s">
        <v>179</v>
      </c>
      <c r="B27" s="169" t="s">
        <v>180</v>
      </c>
      <c r="C27" s="172">
        <f>ROUND(('3.CAGED'!C37) *'3.CAGED'!C30/'3.CAGED'!C33,4)</f>
        <v>4.0800000000000003E-2</v>
      </c>
      <c r="D27" s="173"/>
      <c r="E27" s="181"/>
      <c r="F27" s="157"/>
      <c r="G27" s="157"/>
      <c r="H27" s="157"/>
      <c r="I27" s="157"/>
      <c r="J27" s="157"/>
      <c r="K27" s="157"/>
      <c r="L27" s="157"/>
    </row>
    <row r="28" spans="1:12" ht="14.25" x14ac:dyDescent="0.2">
      <c r="A28" s="168" t="s">
        <v>227</v>
      </c>
      <c r="B28" s="169" t="s">
        <v>182</v>
      </c>
      <c r="C28" s="172">
        <f>ROUND(IF('3.CAGED'!C32&gt;12,12/'3.CAGED'!C32*0.1111,0.1111),4)</f>
        <v>5.4399999999999997E-2</v>
      </c>
      <c r="D28" s="173"/>
      <c r="F28" s="157"/>
      <c r="G28" s="157"/>
      <c r="H28" s="182"/>
      <c r="I28" s="157"/>
      <c r="J28" s="157"/>
      <c r="K28" s="157"/>
      <c r="L28" s="157"/>
    </row>
    <row r="29" spans="1:12" ht="14.25" x14ac:dyDescent="0.2">
      <c r="A29" s="168" t="s">
        <v>181</v>
      </c>
      <c r="B29" s="169" t="s">
        <v>184</v>
      </c>
      <c r="C29" s="172">
        <f>C27*C28</f>
        <v>2.21952E-3</v>
      </c>
      <c r="D29" s="173"/>
      <c r="E29" s="181"/>
      <c r="F29" s="157"/>
      <c r="G29" s="157"/>
      <c r="H29" s="157"/>
      <c r="I29" s="157"/>
      <c r="J29" s="157"/>
      <c r="K29" s="157"/>
      <c r="L29" s="157"/>
    </row>
    <row r="30" spans="1:12" ht="14.25" x14ac:dyDescent="0.2">
      <c r="A30" s="168" t="s">
        <v>183</v>
      </c>
      <c r="B30" s="169" t="s">
        <v>186</v>
      </c>
      <c r="C30" s="172">
        <f>ROUND(('3.CAGED'!C33+'3.CAGED'!C34+'3.CAGED'!C36)/'3.CAGED'!C31*'3.CAGED'!C38*'3.CAGED'!C39*'3.CAGED'!C30/'3.CAGED'!C33,4)</f>
        <v>3.7100000000000001E-2</v>
      </c>
      <c r="D30" s="173"/>
      <c r="F30" s="157"/>
      <c r="G30" s="183"/>
      <c r="H30" s="157"/>
      <c r="I30" s="157"/>
      <c r="J30" s="157"/>
      <c r="K30" s="157"/>
      <c r="L30" s="157"/>
    </row>
    <row r="31" spans="1:12" ht="14.25" x14ac:dyDescent="0.2">
      <c r="A31" s="168" t="s">
        <v>185</v>
      </c>
      <c r="B31" s="169" t="s">
        <v>187</v>
      </c>
      <c r="C31" s="172">
        <f>ROUND(('3.CAGED'!C35/'3.CAGED'!C33)*'3.CAGED'!C30/12,4)</f>
        <v>2.8E-3</v>
      </c>
      <c r="D31" s="173"/>
      <c r="F31" s="157"/>
      <c r="G31" s="157"/>
      <c r="H31" s="157"/>
      <c r="I31" s="157"/>
      <c r="J31" s="157"/>
      <c r="K31" s="157"/>
      <c r="L31" s="157"/>
    </row>
    <row r="32" spans="1:12" ht="15" x14ac:dyDescent="0.2">
      <c r="A32" s="168" t="s">
        <v>188</v>
      </c>
      <c r="B32" s="174" t="s">
        <v>189</v>
      </c>
      <c r="C32" s="175">
        <f>SUM(C27:C31)</f>
        <v>0.13731952</v>
      </c>
      <c r="D32" s="180"/>
      <c r="F32" s="157"/>
      <c r="G32" s="157"/>
      <c r="H32" s="157"/>
      <c r="I32" s="157"/>
      <c r="J32" s="157"/>
      <c r="K32" s="157"/>
      <c r="L32" s="157"/>
    </row>
    <row r="33" spans="1:12" ht="15" x14ac:dyDescent="0.2">
      <c r="A33" s="176"/>
      <c r="B33" s="177"/>
      <c r="C33" s="178"/>
      <c r="D33" s="180"/>
      <c r="F33" s="157"/>
      <c r="G33" s="157"/>
      <c r="H33" s="157"/>
      <c r="I33" s="157"/>
      <c r="J33" s="157"/>
      <c r="K33" s="157"/>
      <c r="L33" s="157"/>
    </row>
    <row r="34" spans="1:12" ht="14.25" x14ac:dyDescent="0.2">
      <c r="A34" s="168" t="s">
        <v>190</v>
      </c>
      <c r="B34" s="169" t="s">
        <v>191</v>
      </c>
      <c r="C34" s="172">
        <f>ROUND(C17*C25,4)</f>
        <v>6.2E-2</v>
      </c>
      <c r="D34" s="173"/>
      <c r="F34" s="157"/>
      <c r="G34" s="157"/>
      <c r="H34" s="157"/>
      <c r="I34" s="157"/>
      <c r="J34" s="157"/>
      <c r="K34" s="157"/>
      <c r="L34" s="157"/>
    </row>
    <row r="35" spans="1:12" ht="28.5" x14ac:dyDescent="0.2">
      <c r="A35" s="168" t="s">
        <v>192</v>
      </c>
      <c r="B35" s="184" t="s">
        <v>297</v>
      </c>
      <c r="C35" s="172">
        <f>ROUND((C27*C16),4)</f>
        <v>3.3E-3</v>
      </c>
      <c r="D35" s="173"/>
      <c r="F35" s="157"/>
      <c r="G35" s="157"/>
      <c r="H35" s="157"/>
      <c r="I35" s="157"/>
      <c r="J35" s="157"/>
      <c r="K35" s="157"/>
      <c r="L35" s="157"/>
    </row>
    <row r="36" spans="1:12" ht="15" x14ac:dyDescent="0.2">
      <c r="A36" s="168" t="s">
        <v>193</v>
      </c>
      <c r="B36" s="174" t="s">
        <v>194</v>
      </c>
      <c r="C36" s="175">
        <f>SUM(C34:C35)</f>
        <v>6.5299999999999997E-2</v>
      </c>
      <c r="D36" s="185"/>
      <c r="F36" s="157"/>
      <c r="G36" s="157"/>
      <c r="H36" s="157"/>
      <c r="I36" s="157"/>
      <c r="J36" s="157"/>
      <c r="K36" s="157"/>
      <c r="L36" s="157"/>
    </row>
    <row r="37" spans="1:12" ht="15.75" thickBot="1" x14ac:dyDescent="0.25">
      <c r="A37" s="186"/>
      <c r="B37" s="187" t="s">
        <v>195</v>
      </c>
      <c r="C37" s="188">
        <f>C36+C32+C25+C17</f>
        <v>0.73911952000000003</v>
      </c>
      <c r="D37" s="185"/>
      <c r="F37" s="157"/>
      <c r="G37" s="157"/>
      <c r="H37" s="157"/>
      <c r="I37" s="157"/>
      <c r="J37" s="157"/>
      <c r="K37" s="157"/>
      <c r="L37" s="157"/>
    </row>
    <row r="38" spans="1:12" ht="15" x14ac:dyDescent="0.2">
      <c r="A38" s="173"/>
      <c r="B38" s="189"/>
      <c r="C38" s="190"/>
      <c r="D38" s="191"/>
      <c r="F38" s="157"/>
      <c r="G38" s="157"/>
      <c r="H38" s="157"/>
      <c r="I38" s="157"/>
      <c r="J38" s="157"/>
      <c r="K38" s="157"/>
      <c r="L38" s="157"/>
    </row>
    <row r="39" spans="1:12" ht="14.25" x14ac:dyDescent="0.2">
      <c r="A39" s="173"/>
      <c r="B39" s="173"/>
      <c r="C39" s="192"/>
      <c r="D39" s="193"/>
      <c r="F39" s="157"/>
      <c r="G39" s="157"/>
      <c r="H39" s="157"/>
      <c r="I39" s="157"/>
      <c r="J39" s="157"/>
      <c r="K39" s="157"/>
      <c r="L39" s="157"/>
    </row>
    <row r="40" spans="1:12" ht="14.25" x14ac:dyDescent="0.2">
      <c r="A40" s="171"/>
      <c r="B40" s="171"/>
      <c r="C40" s="194"/>
      <c r="D40" s="171"/>
      <c r="F40" s="157"/>
      <c r="G40" s="157"/>
      <c r="H40" s="157"/>
      <c r="I40" s="157"/>
      <c r="J40" s="157"/>
      <c r="K40" s="157"/>
      <c r="L40" s="157"/>
    </row>
    <row r="41" spans="1:12" ht="14.25" x14ac:dyDescent="0.2">
      <c r="A41" s="171"/>
      <c r="B41" s="171"/>
      <c r="C41" s="194"/>
      <c r="D41" s="171"/>
      <c r="F41" s="157"/>
      <c r="G41" s="157"/>
      <c r="H41" s="157"/>
      <c r="I41" s="157"/>
      <c r="J41" s="157"/>
      <c r="K41" s="157"/>
      <c r="L41" s="157"/>
    </row>
    <row r="42" spans="1:12" ht="14.25" x14ac:dyDescent="0.2">
      <c r="A42" s="171"/>
      <c r="B42" s="171"/>
      <c r="C42" s="194"/>
      <c r="D42" s="171"/>
      <c r="F42" s="157"/>
      <c r="G42" s="157"/>
      <c r="H42" s="157"/>
      <c r="I42" s="157"/>
      <c r="J42" s="157"/>
      <c r="K42" s="157"/>
      <c r="L42" s="157"/>
    </row>
    <row r="43" spans="1:12" ht="15" x14ac:dyDescent="0.2">
      <c r="A43" s="171"/>
      <c r="B43" s="195"/>
      <c r="C43" s="196"/>
      <c r="D43" s="171"/>
      <c r="F43" s="157"/>
      <c r="G43" s="157"/>
      <c r="H43" s="157"/>
      <c r="I43" s="157"/>
      <c r="J43" s="157"/>
      <c r="K43" s="157"/>
      <c r="L43" s="157"/>
    </row>
    <row r="44" spans="1:12" ht="15" x14ac:dyDescent="0.2">
      <c r="A44" s="185"/>
      <c r="B44" s="195"/>
      <c r="C44" s="196"/>
      <c r="D44" s="185"/>
      <c r="E44" s="157"/>
      <c r="F44" s="157"/>
      <c r="G44" s="157"/>
      <c r="H44" s="157"/>
      <c r="I44" s="157"/>
      <c r="J44" s="157"/>
      <c r="K44" s="157"/>
      <c r="L44" s="157"/>
    </row>
    <row r="45" spans="1:12" ht="16.5" x14ac:dyDescent="0.2">
      <c r="A45" s="197"/>
      <c r="B45" s="157"/>
      <c r="C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2">
      <c r="A46" s="198"/>
      <c r="B46" s="199"/>
      <c r="C46" s="199"/>
      <c r="E46" s="157"/>
      <c r="F46" s="157"/>
      <c r="G46" s="157"/>
      <c r="H46" s="157"/>
      <c r="I46" s="157"/>
      <c r="J46" s="157"/>
      <c r="K46" s="157"/>
      <c r="L46" s="157"/>
    </row>
    <row r="47" spans="1:12" ht="14.25" x14ac:dyDescent="0.2">
      <c r="A47" s="171"/>
      <c r="B47" s="200"/>
      <c r="C47" s="199"/>
      <c r="E47" s="157"/>
      <c r="F47" s="157"/>
      <c r="G47" s="157"/>
      <c r="H47" s="157"/>
      <c r="I47" s="157"/>
      <c r="J47" s="157"/>
      <c r="K47" s="157"/>
      <c r="L47" s="157"/>
    </row>
    <row r="48" spans="1:12" ht="14.25" x14ac:dyDescent="0.2">
      <c r="A48" s="171"/>
      <c r="B48" s="200"/>
      <c r="C48" s="171"/>
      <c r="E48" s="157"/>
      <c r="F48" s="157"/>
      <c r="G48" s="157"/>
      <c r="H48" s="157"/>
      <c r="I48" s="157"/>
      <c r="J48" s="157"/>
      <c r="K48" s="157"/>
      <c r="L48" s="157"/>
    </row>
    <row r="49" spans="1:12" ht="14.25" x14ac:dyDescent="0.2">
      <c r="A49" s="171"/>
      <c r="B49" s="194"/>
      <c r="C49" s="199"/>
      <c r="E49" s="157"/>
      <c r="F49" s="157"/>
      <c r="G49" s="157"/>
      <c r="H49" s="157"/>
      <c r="I49" s="157"/>
      <c r="J49" s="157"/>
      <c r="K49" s="157"/>
      <c r="L49" s="157"/>
    </row>
    <row r="50" spans="1:12" ht="14.25" x14ac:dyDescent="0.2">
      <c r="A50" s="171"/>
      <c r="B50" s="200"/>
      <c r="C50" s="171"/>
      <c r="E50" s="157"/>
      <c r="F50" s="157"/>
      <c r="G50" s="157"/>
      <c r="H50" s="157"/>
      <c r="I50" s="157"/>
      <c r="J50" s="157"/>
      <c r="K50" s="157"/>
      <c r="L50" s="157"/>
    </row>
    <row r="51" spans="1:12" ht="14.25" x14ac:dyDescent="0.2">
      <c r="A51" s="171"/>
      <c r="B51" s="194"/>
      <c r="C51" s="199"/>
      <c r="E51" s="157"/>
      <c r="F51" s="157"/>
      <c r="G51" s="157"/>
      <c r="H51" s="157"/>
      <c r="I51" s="157"/>
      <c r="J51" s="157"/>
      <c r="K51" s="157"/>
      <c r="L51" s="157"/>
    </row>
    <row r="52" spans="1:12" ht="14.25" x14ac:dyDescent="0.2">
      <c r="A52" s="171"/>
      <c r="B52" s="200"/>
      <c r="C52" s="171"/>
      <c r="E52" s="157"/>
      <c r="F52" s="157"/>
      <c r="G52" s="157"/>
      <c r="H52" s="157"/>
      <c r="I52" s="157"/>
      <c r="J52" s="157"/>
      <c r="K52" s="157"/>
      <c r="L52" s="157"/>
    </row>
    <row r="53" spans="1:12" ht="14.25" x14ac:dyDescent="0.2">
      <c r="A53" s="171"/>
      <c r="B53" s="194"/>
      <c r="C53" s="199"/>
      <c r="E53" s="157"/>
      <c r="F53" s="157"/>
      <c r="G53" s="157"/>
      <c r="H53" s="157"/>
      <c r="I53" s="157"/>
      <c r="J53" s="157"/>
      <c r="K53" s="157"/>
      <c r="L53" s="157"/>
    </row>
    <row r="54" spans="1:12" ht="14.25" x14ac:dyDescent="0.2">
      <c r="A54" s="171"/>
      <c r="B54" s="200"/>
      <c r="C54" s="171"/>
      <c r="E54" s="157"/>
      <c r="F54" s="157"/>
      <c r="G54" s="157"/>
      <c r="H54" s="157"/>
      <c r="I54" s="157"/>
      <c r="J54" s="157"/>
      <c r="K54" s="157"/>
      <c r="L54" s="157"/>
    </row>
    <row r="55" spans="1:12" ht="14.25" x14ac:dyDescent="0.2">
      <c r="A55" s="171"/>
      <c r="B55" s="194"/>
      <c r="C55" s="199"/>
      <c r="E55" s="157"/>
      <c r="F55" s="157"/>
      <c r="G55" s="157"/>
      <c r="H55" s="157"/>
      <c r="I55" s="157"/>
      <c r="J55" s="157"/>
      <c r="K55" s="157"/>
      <c r="L55" s="157"/>
    </row>
    <row r="56" spans="1:12" ht="16.5" x14ac:dyDescent="0.2">
      <c r="A56" s="197"/>
      <c r="B56" s="157"/>
      <c r="C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2">
      <c r="A57" s="157"/>
      <c r="B57" s="157"/>
      <c r="C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201"/>
      <c r="B59" s="157"/>
      <c r="C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157"/>
      <c r="B60" s="157"/>
      <c r="C60" s="157"/>
      <c r="E60" s="157"/>
    </row>
    <row r="61" spans="1:12" x14ac:dyDescent="0.2">
      <c r="A61" s="157"/>
      <c r="B61" s="157"/>
      <c r="C61" s="157"/>
      <c r="E61" s="157"/>
    </row>
    <row r="62" spans="1:12" x14ac:dyDescent="0.2">
      <c r="A62" s="157"/>
      <c r="B62" s="157"/>
      <c r="C62" s="157"/>
      <c r="E62" s="157"/>
    </row>
    <row r="63" spans="1:12" x14ac:dyDescent="0.2">
      <c r="A63" s="157"/>
      <c r="B63" s="157"/>
      <c r="C63" s="157"/>
      <c r="E63" s="157"/>
    </row>
    <row r="64" spans="1:12" x14ac:dyDescent="0.2">
      <c r="A64" s="157"/>
      <c r="B64" s="157"/>
      <c r="C64" s="157"/>
      <c r="E64" s="157"/>
    </row>
    <row r="65" spans="1:5" x14ac:dyDescent="0.2">
      <c r="A65" s="157"/>
      <c r="B65" s="157"/>
      <c r="C65" s="157"/>
      <c r="E65" s="157"/>
    </row>
    <row r="66" spans="1:5" x14ac:dyDescent="0.2">
      <c r="A66" s="157"/>
      <c r="B66" s="157"/>
      <c r="C66" s="157"/>
      <c r="E66" s="157"/>
    </row>
    <row r="67" spans="1:5" x14ac:dyDescent="0.2">
      <c r="A67" s="157"/>
      <c r="B67" s="157"/>
      <c r="C67" s="157"/>
      <c r="E67" s="157"/>
    </row>
    <row r="68" spans="1:5" x14ac:dyDescent="0.2">
      <c r="A68" s="157"/>
      <c r="B68" s="157"/>
      <c r="C68" s="157"/>
      <c r="E68" s="15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zoomScaleNormal="100" workbookViewId="0">
      <selection activeCell="C27" sqref="C27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7" t="s">
        <v>251</v>
      </c>
    </row>
    <row r="3" spans="1:3" x14ac:dyDescent="0.2">
      <c r="A3" s="1" t="s">
        <v>216</v>
      </c>
    </row>
    <row r="4" spans="1:3" x14ac:dyDescent="0.2">
      <c r="A4" s="271" t="s">
        <v>212</v>
      </c>
    </row>
    <row r="5" spans="1:3" ht="25.5" customHeight="1" x14ac:dyDescent="0.2">
      <c r="A5" s="329" t="s">
        <v>264</v>
      </c>
      <c r="B5" s="328"/>
      <c r="C5" s="328"/>
    </row>
    <row r="6" spans="1:3" x14ac:dyDescent="0.2">
      <c r="A6" s="1" t="s">
        <v>213</v>
      </c>
    </row>
    <row r="7" spans="1:3" ht="26.25" customHeight="1" x14ac:dyDescent="0.2">
      <c r="A7" s="328" t="s">
        <v>214</v>
      </c>
      <c r="B7" s="328"/>
      <c r="C7" s="328"/>
    </row>
    <row r="8" spans="1:3" x14ac:dyDescent="0.2">
      <c r="A8" s="1" t="s">
        <v>215</v>
      </c>
    </row>
    <row r="9" spans="1:3" x14ac:dyDescent="0.2">
      <c r="A9" s="298" t="s">
        <v>252</v>
      </c>
    </row>
    <row r="10" spans="1:3" ht="13.5" thickBot="1" x14ac:dyDescent="0.25"/>
    <row r="11" spans="1:3" ht="18" x14ac:dyDescent="0.25">
      <c r="B11" s="326" t="s">
        <v>237</v>
      </c>
      <c r="C11" s="327"/>
    </row>
    <row r="12" spans="1:3" ht="15" x14ac:dyDescent="0.25">
      <c r="A12" s="157"/>
      <c r="B12" s="156" t="s">
        <v>211</v>
      </c>
      <c r="C12" s="202"/>
    </row>
    <row r="13" spans="1:3" ht="15" x14ac:dyDescent="0.25">
      <c r="A13" s="157"/>
      <c r="B13" s="158" t="s">
        <v>131</v>
      </c>
      <c r="C13" s="159">
        <v>2393</v>
      </c>
    </row>
    <row r="14" spans="1:3" ht="15" x14ac:dyDescent="0.25">
      <c r="A14" s="157"/>
      <c r="B14" s="160" t="s">
        <v>132</v>
      </c>
      <c r="C14" s="159">
        <v>3476</v>
      </c>
    </row>
    <row r="15" spans="1:3" ht="14.25" x14ac:dyDescent="0.2">
      <c r="A15" s="157"/>
      <c r="B15" s="203" t="s">
        <v>133</v>
      </c>
      <c r="C15" s="204">
        <v>88</v>
      </c>
    </row>
    <row r="16" spans="1:3" ht="14.25" x14ac:dyDescent="0.2">
      <c r="A16" s="157"/>
      <c r="B16" s="203" t="s">
        <v>134</v>
      </c>
      <c r="C16" s="204">
        <v>2448</v>
      </c>
    </row>
    <row r="17" spans="1:5" ht="14.25" x14ac:dyDescent="0.2">
      <c r="A17" s="157"/>
      <c r="B17" s="203" t="s">
        <v>135</v>
      </c>
      <c r="C17" s="204">
        <v>354</v>
      </c>
    </row>
    <row r="18" spans="1:5" ht="14.25" x14ac:dyDescent="0.2">
      <c r="A18" s="157"/>
      <c r="B18" s="203" t="s">
        <v>136</v>
      </c>
      <c r="C18" s="204">
        <v>24</v>
      </c>
    </row>
    <row r="19" spans="1:5" ht="14.25" x14ac:dyDescent="0.2">
      <c r="A19" s="157"/>
      <c r="B19" s="203" t="s">
        <v>137</v>
      </c>
      <c r="C19" s="204">
        <v>532</v>
      </c>
    </row>
    <row r="20" spans="1:5" ht="14.25" x14ac:dyDescent="0.2">
      <c r="A20" s="157"/>
      <c r="B20" s="203" t="s">
        <v>138</v>
      </c>
      <c r="C20" s="204">
        <v>1</v>
      </c>
    </row>
    <row r="21" spans="1:5" ht="14.25" x14ac:dyDescent="0.2">
      <c r="A21" s="157"/>
      <c r="B21" s="203" t="s">
        <v>139</v>
      </c>
      <c r="C21" s="204">
        <v>29</v>
      </c>
    </row>
    <row r="22" spans="1:5" ht="14.25" x14ac:dyDescent="0.2">
      <c r="A22" s="157"/>
      <c r="B22" s="205" t="s">
        <v>140</v>
      </c>
      <c r="C22" s="206">
        <v>0</v>
      </c>
    </row>
    <row r="23" spans="1:5" ht="14.25" x14ac:dyDescent="0.2">
      <c r="A23" s="157"/>
      <c r="B23" s="304" t="s">
        <v>304</v>
      </c>
      <c r="C23" s="206">
        <v>0</v>
      </c>
    </row>
    <row r="24" spans="1:5" ht="15" x14ac:dyDescent="0.25">
      <c r="A24" s="157" t="s">
        <v>141</v>
      </c>
      <c r="B24" s="156" t="s">
        <v>142</v>
      </c>
      <c r="C24" s="202"/>
    </row>
    <row r="25" spans="1:5" ht="14.25" x14ac:dyDescent="0.2">
      <c r="A25" s="157"/>
      <c r="B25" s="207" t="s">
        <v>309</v>
      </c>
      <c r="C25" s="208">
        <v>6537</v>
      </c>
    </row>
    <row r="26" spans="1:5" ht="14.25" x14ac:dyDescent="0.2">
      <c r="A26" s="157"/>
      <c r="B26" s="203" t="s">
        <v>310</v>
      </c>
      <c r="C26" s="204">
        <v>5454</v>
      </c>
    </row>
    <row r="27" spans="1:5" ht="14.25" x14ac:dyDescent="0.2">
      <c r="B27" s="203" t="s">
        <v>305</v>
      </c>
      <c r="C27" s="297">
        <f>C13-C14</f>
        <v>-1083</v>
      </c>
    </row>
    <row r="28" spans="1:5" ht="14.25" x14ac:dyDescent="0.2">
      <c r="B28" s="209"/>
      <c r="C28" s="210"/>
    </row>
    <row r="29" spans="1:5" s="107" customFormat="1" ht="15" x14ac:dyDescent="0.25">
      <c r="B29" s="158" t="s">
        <v>144</v>
      </c>
      <c r="C29" s="211">
        <f>MEDIAN(C25,C26)</f>
        <v>5995.5</v>
      </c>
    </row>
    <row r="30" spans="1:5" ht="15" x14ac:dyDescent="0.25">
      <c r="B30" s="160" t="s">
        <v>302</v>
      </c>
      <c r="C30" s="302">
        <f>C16/C29</f>
        <v>0.40830622967225422</v>
      </c>
    </row>
    <row r="31" spans="1:5" ht="15" x14ac:dyDescent="0.25">
      <c r="B31" s="160" t="s">
        <v>303</v>
      </c>
      <c r="C31" s="302">
        <f>MEDIAN(C13,C14)/C29</f>
        <v>0.48945042114919524</v>
      </c>
      <c r="E31" s="271"/>
    </row>
    <row r="32" spans="1:5" s="107" customFormat="1" ht="15" x14ac:dyDescent="0.25">
      <c r="B32" s="160" t="s">
        <v>258</v>
      </c>
      <c r="C32" s="300">
        <f>12/C31</f>
        <v>24.517294257965581</v>
      </c>
    </row>
    <row r="33" spans="2:3" ht="15" x14ac:dyDescent="0.25">
      <c r="B33" s="160" t="s">
        <v>143</v>
      </c>
      <c r="C33" s="162">
        <v>360</v>
      </c>
    </row>
    <row r="34" spans="2:3" ht="15" x14ac:dyDescent="0.25">
      <c r="B34" s="160" t="s">
        <v>253</v>
      </c>
      <c r="C34" s="162">
        <v>10</v>
      </c>
    </row>
    <row r="35" spans="2:3" ht="15" x14ac:dyDescent="0.25">
      <c r="B35" s="158" t="s">
        <v>254</v>
      </c>
      <c r="C35" s="161">
        <v>30</v>
      </c>
    </row>
    <row r="36" spans="2:3" ht="15" x14ac:dyDescent="0.25">
      <c r="B36" s="158" t="s">
        <v>255</v>
      </c>
      <c r="C36" s="161">
        <v>30</v>
      </c>
    </row>
    <row r="37" spans="2:3" s="107" customFormat="1" ht="15" x14ac:dyDescent="0.25">
      <c r="B37" s="158" t="s">
        <v>146</v>
      </c>
      <c r="C37" s="161">
        <f>30+(3*TRUNC(1/C31))</f>
        <v>36</v>
      </c>
    </row>
    <row r="38" spans="2:3" s="107" customFormat="1" ht="15" x14ac:dyDescent="0.25">
      <c r="B38" s="160" t="s">
        <v>42</v>
      </c>
      <c r="C38" s="301">
        <v>0.08</v>
      </c>
    </row>
    <row r="39" spans="2:3" s="107" customFormat="1" ht="15.75" thickBot="1" x14ac:dyDescent="0.3">
      <c r="B39" s="163" t="s">
        <v>145</v>
      </c>
      <c r="C39" s="303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I20" sqref="I20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6" customFormat="1" ht="14.25" x14ac:dyDescent="0.2">
      <c r="A1" s="11" t="s">
        <v>209</v>
      </c>
      <c r="B1" s="144"/>
      <c r="C1" s="144"/>
      <c r="E1" s="147"/>
    </row>
    <row r="2" spans="1:8" s="146" customFormat="1" ht="14.25" x14ac:dyDescent="0.2">
      <c r="A2" s="139" t="s">
        <v>259</v>
      </c>
      <c r="B2" s="144"/>
      <c r="C2" s="144"/>
      <c r="E2" s="147"/>
    </row>
    <row r="3" spans="1:8" s="146" customFormat="1" ht="14.25" x14ac:dyDescent="0.2">
      <c r="A3" s="9" t="s">
        <v>210</v>
      </c>
      <c r="B3" s="144"/>
      <c r="C3" s="144"/>
      <c r="E3" s="147"/>
    </row>
    <row r="4" spans="1:8" s="146" customFormat="1" ht="14.25" x14ac:dyDescent="0.2">
      <c r="A4" s="9"/>
      <c r="B4" s="144"/>
      <c r="C4" s="144"/>
      <c r="E4" s="147"/>
    </row>
    <row r="5" spans="1:8" s="4" customFormat="1" ht="15.6" customHeight="1" x14ac:dyDescent="0.2">
      <c r="A5" s="296" t="s">
        <v>301</v>
      </c>
      <c r="B5" s="138"/>
      <c r="C5" s="138"/>
      <c r="D5" s="138"/>
      <c r="E5" s="138"/>
      <c r="F5" s="138"/>
      <c r="G5" s="6"/>
    </row>
    <row r="6" spans="1:8" s="4" customFormat="1" ht="16.5" customHeight="1" x14ac:dyDescent="0.2">
      <c r="A6" s="296" t="s">
        <v>298</v>
      </c>
      <c r="B6" s="5"/>
      <c r="C6" s="5"/>
      <c r="D6" s="6"/>
      <c r="E6" s="6"/>
      <c r="F6" s="6"/>
      <c r="G6" s="6"/>
    </row>
    <row r="7" spans="1:8" s="146" customFormat="1" ht="15" thickBot="1" x14ac:dyDescent="0.25">
      <c r="B7" s="144"/>
      <c r="C7" s="144"/>
      <c r="E7" s="147"/>
    </row>
    <row r="8" spans="1:8" ht="15.75" x14ac:dyDescent="0.2">
      <c r="A8" s="335" t="s">
        <v>238</v>
      </c>
      <c r="B8" s="336"/>
      <c r="C8" s="336"/>
      <c r="D8" s="336"/>
      <c r="E8" s="336"/>
      <c r="F8" s="337"/>
    </row>
    <row r="9" spans="1:8" ht="16.5" thickBot="1" x14ac:dyDescent="0.25">
      <c r="A9" s="256"/>
      <c r="B9" s="257"/>
      <c r="C9" s="257"/>
      <c r="D9" s="257"/>
      <c r="E9" s="257"/>
      <c r="F9" s="258"/>
    </row>
    <row r="10" spans="1:8" ht="15" x14ac:dyDescent="0.25">
      <c r="A10" s="212"/>
      <c r="B10" s="145"/>
      <c r="C10" s="145"/>
      <c r="D10" s="332" t="s">
        <v>256</v>
      </c>
      <c r="E10" s="333"/>
      <c r="F10" s="334"/>
      <c r="G10" s="146"/>
      <c r="H10" s="146"/>
    </row>
    <row r="11" spans="1:8" ht="15" thickBot="1" x14ac:dyDescent="0.25">
      <c r="A11" s="209"/>
      <c r="B11" s="213"/>
      <c r="C11" s="213"/>
      <c r="D11" s="214" t="s">
        <v>196</v>
      </c>
      <c r="E11" s="215" t="s">
        <v>197</v>
      </c>
      <c r="F11" s="216" t="s">
        <v>198</v>
      </c>
      <c r="G11" s="146"/>
      <c r="H11" s="146"/>
    </row>
    <row r="12" spans="1:8" ht="14.25" x14ac:dyDescent="0.2">
      <c r="A12" s="217" t="s">
        <v>77</v>
      </c>
      <c r="B12" s="218" t="s">
        <v>78</v>
      </c>
      <c r="C12" s="219">
        <v>5.0799999999999998E-2</v>
      </c>
      <c r="D12" s="240">
        <v>2.9700000000000001E-2</v>
      </c>
      <c r="E12" s="241">
        <v>5.0799999999999998E-2</v>
      </c>
      <c r="F12" s="242">
        <v>6.2700000000000006E-2</v>
      </c>
      <c r="G12" s="146"/>
      <c r="H12" s="146"/>
    </row>
    <row r="13" spans="1:8" ht="14.25" x14ac:dyDescent="0.2">
      <c r="A13" s="221" t="s">
        <v>79</v>
      </c>
      <c r="B13" s="222" t="s">
        <v>80</v>
      </c>
      <c r="C13" s="223">
        <v>1.3299999999999999E-2</v>
      </c>
      <c r="D13" s="240">
        <f>0.3%+0.56%</f>
        <v>8.6E-3</v>
      </c>
      <c r="E13" s="241">
        <f>0.48%+0.85%</f>
        <v>1.3299999999999999E-2</v>
      </c>
      <c r="F13" s="242">
        <f>0.82%+0.89%</f>
        <v>1.7099999999999997E-2</v>
      </c>
      <c r="G13" s="146"/>
      <c r="H13" s="146"/>
    </row>
    <row r="14" spans="1:8" ht="14.25" x14ac:dyDescent="0.2">
      <c r="A14" s="221" t="s">
        <v>81</v>
      </c>
      <c r="B14" s="222" t="s">
        <v>82</v>
      </c>
      <c r="C14" s="223">
        <v>0.1085</v>
      </c>
      <c r="D14" s="240">
        <v>7.7799999999999994E-2</v>
      </c>
      <c r="E14" s="241">
        <v>0.1085</v>
      </c>
      <c r="F14" s="242">
        <v>0.13550000000000001</v>
      </c>
      <c r="G14" s="146"/>
      <c r="H14" s="146"/>
    </row>
    <row r="15" spans="1:8" ht="14.25" x14ac:dyDescent="0.2">
      <c r="A15" s="221" t="s">
        <v>83</v>
      </c>
      <c r="B15" s="222" t="s">
        <v>84</v>
      </c>
      <c r="C15" s="224">
        <f>(1+E15)^(E16/252)-1</f>
        <v>2.4647543870461863E-3</v>
      </c>
      <c r="D15" s="240" t="s">
        <v>293</v>
      </c>
      <c r="E15" s="225">
        <v>6.4000000000000001E-2</v>
      </c>
      <c r="F15" s="220"/>
      <c r="G15" s="146"/>
      <c r="H15" s="146"/>
    </row>
    <row r="16" spans="1:8" ht="14.25" x14ac:dyDescent="0.2">
      <c r="A16" s="221" t="s">
        <v>85</v>
      </c>
      <c r="B16" s="330" t="s">
        <v>86</v>
      </c>
      <c r="C16" s="223">
        <v>0.04</v>
      </c>
      <c r="D16" s="295" t="s">
        <v>199</v>
      </c>
      <c r="E16" s="226">
        <v>10</v>
      </c>
      <c r="F16" s="227"/>
      <c r="G16" s="146"/>
      <c r="H16" s="146"/>
    </row>
    <row r="17" spans="1:8" ht="15" thickBot="1" x14ac:dyDescent="0.25">
      <c r="A17" s="228" t="s">
        <v>87</v>
      </c>
      <c r="B17" s="331"/>
      <c r="C17" s="229">
        <v>3.6499999999999998E-2</v>
      </c>
      <c r="D17" s="203"/>
      <c r="E17" s="230"/>
      <c r="F17" s="227"/>
      <c r="G17" s="146"/>
      <c r="H17" s="146"/>
    </row>
    <row r="18" spans="1:8" ht="14.25" x14ac:dyDescent="0.2">
      <c r="A18" s="231" t="s">
        <v>88</v>
      </c>
      <c r="B18" s="232"/>
      <c r="C18" s="233"/>
      <c r="D18" s="203"/>
      <c r="E18" s="230"/>
      <c r="F18" s="227"/>
      <c r="G18" s="146"/>
      <c r="H18" s="146"/>
    </row>
    <row r="19" spans="1:8" ht="15" thickBot="1" x14ac:dyDescent="0.25">
      <c r="A19" s="234" t="s">
        <v>89</v>
      </c>
      <c r="B19" s="235"/>
      <c r="C19" s="236"/>
      <c r="D19" s="203"/>
      <c r="E19" s="230"/>
      <c r="F19" s="227"/>
      <c r="G19" s="146"/>
      <c r="H19" s="146"/>
    </row>
    <row r="20" spans="1:8" ht="15.75" thickBot="1" x14ac:dyDescent="0.25">
      <c r="A20" s="237" t="s">
        <v>90</v>
      </c>
      <c r="B20" s="238"/>
      <c r="C20" s="239">
        <f>ROUND((((1+C12+C13)*(1+C14)*(1+C15))/(1-(C16+C17))-1),4)</f>
        <v>0.28039999999999998</v>
      </c>
      <c r="D20" s="243">
        <v>0.21429999999999999</v>
      </c>
      <c r="E20" s="244">
        <v>0.2717</v>
      </c>
      <c r="F20" s="245">
        <v>0.3362</v>
      </c>
      <c r="G20" s="146"/>
      <c r="H20" s="146"/>
    </row>
    <row r="21" spans="1:8" ht="14.25" x14ac:dyDescent="0.2">
      <c r="A21" s="146"/>
      <c r="B21" s="146"/>
      <c r="C21" s="146"/>
      <c r="D21" s="146"/>
      <c r="E21" s="147"/>
      <c r="F21" s="146"/>
      <c r="G21" s="146"/>
      <c r="H21" s="146"/>
    </row>
    <row r="22" spans="1:8" ht="14.25" x14ac:dyDescent="0.2">
      <c r="A22" s="146"/>
      <c r="B22" s="146"/>
      <c r="C22" s="146"/>
      <c r="D22" s="146"/>
      <c r="E22" s="147"/>
      <c r="F22" s="146"/>
      <c r="G22" s="146"/>
      <c r="H22" s="146"/>
    </row>
    <row r="23" spans="1:8" ht="14.25" x14ac:dyDescent="0.2">
      <c r="A23" s="146"/>
      <c r="B23" s="146"/>
      <c r="C23" s="146"/>
      <c r="D23" s="146"/>
      <c r="E23" s="147"/>
      <c r="F23" s="146"/>
      <c r="G23" s="146"/>
      <c r="H23" s="146"/>
    </row>
    <row r="24" spans="1:8" ht="14.25" x14ac:dyDescent="0.2">
      <c r="A24" s="146"/>
      <c r="B24" s="146"/>
      <c r="C24" s="146"/>
      <c r="D24" s="146"/>
      <c r="E24" s="147"/>
      <c r="F24" s="146"/>
      <c r="G24" s="146"/>
      <c r="H24" s="146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38" t="s">
        <v>240</v>
      </c>
      <c r="B1" s="339"/>
    </row>
    <row r="2" spans="1:2" s="107" customFormat="1" ht="19.5" customHeight="1" x14ac:dyDescent="0.2">
      <c r="A2" s="259" t="s">
        <v>217</v>
      </c>
      <c r="B2" s="260" t="s">
        <v>295</v>
      </c>
    </row>
    <row r="3" spans="1:2" ht="19.5" customHeight="1" x14ac:dyDescent="0.2">
      <c r="A3" s="165">
        <v>1</v>
      </c>
      <c r="B3" s="164">
        <v>33.629999999999995</v>
      </c>
    </row>
    <row r="4" spans="1:2" ht="19.5" customHeight="1" x14ac:dyDescent="0.2">
      <c r="A4" s="165">
        <v>2</v>
      </c>
      <c r="B4" s="164">
        <v>43.13</v>
      </c>
    </row>
    <row r="5" spans="1:2" ht="19.5" customHeight="1" x14ac:dyDescent="0.2">
      <c r="A5" s="165">
        <v>3</v>
      </c>
      <c r="B5" s="164">
        <v>48.68</v>
      </c>
    </row>
    <row r="6" spans="1:2" ht="19.5" customHeight="1" x14ac:dyDescent="0.2">
      <c r="A6" s="165">
        <v>4</v>
      </c>
      <c r="B6" s="164">
        <v>52.62</v>
      </c>
    </row>
    <row r="7" spans="1:2" ht="19.5" customHeight="1" x14ac:dyDescent="0.2">
      <c r="A7" s="165">
        <v>5</v>
      </c>
      <c r="B7" s="164">
        <v>55.679999999999993</v>
      </c>
    </row>
    <row r="8" spans="1:2" ht="19.5" customHeight="1" x14ac:dyDescent="0.2">
      <c r="A8" s="165">
        <v>6</v>
      </c>
      <c r="B8" s="164">
        <v>58.18</v>
      </c>
    </row>
    <row r="9" spans="1:2" ht="19.5" customHeight="1" x14ac:dyDescent="0.2">
      <c r="A9" s="165">
        <v>7</v>
      </c>
      <c r="B9" s="164">
        <v>60.29</v>
      </c>
    </row>
    <row r="10" spans="1:2" ht="19.5" customHeight="1" x14ac:dyDescent="0.2">
      <c r="A10" s="165">
        <v>8</v>
      </c>
      <c r="B10" s="164">
        <v>62.12</v>
      </c>
    </row>
    <row r="11" spans="1:2" ht="19.5" customHeight="1" x14ac:dyDescent="0.2">
      <c r="A11" s="165">
        <v>9</v>
      </c>
      <c r="B11" s="164">
        <v>63.73</v>
      </c>
    </row>
    <row r="12" spans="1:2" ht="19.5" customHeight="1" x14ac:dyDescent="0.2">
      <c r="A12" s="165">
        <v>10</v>
      </c>
      <c r="B12" s="164">
        <v>65.180000000000007</v>
      </c>
    </row>
    <row r="13" spans="1:2" ht="19.5" customHeight="1" x14ac:dyDescent="0.2">
      <c r="A13" s="165">
        <v>11</v>
      </c>
      <c r="B13" s="164">
        <v>66.47999999999999</v>
      </c>
    </row>
    <row r="14" spans="1:2" ht="19.5" customHeight="1" x14ac:dyDescent="0.2">
      <c r="A14" s="165">
        <v>12</v>
      </c>
      <c r="B14" s="164">
        <v>67.67</v>
      </c>
    </row>
    <row r="15" spans="1:2" ht="19.5" customHeight="1" x14ac:dyDescent="0.2">
      <c r="A15" s="165">
        <v>13</v>
      </c>
      <c r="B15" s="164">
        <v>68.77</v>
      </c>
    </row>
    <row r="16" spans="1:2" ht="19.5" customHeight="1" x14ac:dyDescent="0.2">
      <c r="A16" s="165">
        <v>14</v>
      </c>
      <c r="B16" s="164">
        <v>69.789999999999992</v>
      </c>
    </row>
    <row r="17" spans="1:2" ht="19.5" customHeight="1" thickBot="1" x14ac:dyDescent="0.25">
      <c r="A17" s="166">
        <v>15</v>
      </c>
      <c r="B17" s="16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9" t="s">
        <v>244</v>
      </c>
    </row>
    <row r="2" spans="1:1" x14ac:dyDescent="0.2">
      <c r="A2" s="246"/>
    </row>
    <row r="3" spans="1:1" x14ac:dyDescent="0.2">
      <c r="A3" s="246" t="s">
        <v>260</v>
      </c>
    </row>
    <row r="4" spans="1:1" x14ac:dyDescent="0.2">
      <c r="A4" s="246"/>
    </row>
    <row r="5" spans="1:1" x14ac:dyDescent="0.2">
      <c r="A5" s="246"/>
    </row>
    <row r="6" spans="1:1" x14ac:dyDescent="0.2">
      <c r="A6" s="246"/>
    </row>
    <row r="7" spans="1:1" x14ac:dyDescent="0.2">
      <c r="A7" s="246"/>
    </row>
    <row r="8" spans="1:1" x14ac:dyDescent="0.2">
      <c r="A8" s="246"/>
    </row>
    <row r="9" spans="1:1" x14ac:dyDescent="0.2">
      <c r="A9" s="246"/>
    </row>
    <row r="10" spans="1:1" x14ac:dyDescent="0.2">
      <c r="A10" s="246"/>
    </row>
    <row r="11" spans="1:1" x14ac:dyDescent="0.2">
      <c r="A11" s="246"/>
    </row>
    <row r="12" spans="1:1" ht="19.5" x14ac:dyDescent="0.35">
      <c r="A12" s="247" t="s">
        <v>241</v>
      </c>
    </row>
    <row r="13" spans="1:1" ht="15" x14ac:dyDescent="0.2">
      <c r="A13" s="247" t="s">
        <v>114</v>
      </c>
    </row>
    <row r="14" spans="1:1" ht="15" x14ac:dyDescent="0.2">
      <c r="A14" s="247" t="s">
        <v>119</v>
      </c>
    </row>
    <row r="15" spans="1:1" ht="19.5" x14ac:dyDescent="0.35">
      <c r="A15" s="247" t="s">
        <v>242</v>
      </c>
    </row>
    <row r="16" spans="1:1" ht="19.5" x14ac:dyDescent="0.35">
      <c r="A16" s="247" t="s">
        <v>243</v>
      </c>
    </row>
    <row r="17" spans="1:1" ht="15.75" thickBot="1" x14ac:dyDescent="0.25">
      <c r="A17" s="248" t="s">
        <v>115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0" sqref="C30"/>
    </sheetView>
  </sheetViews>
  <sheetFormatPr defaultRowHeight="12.75" x14ac:dyDescent="0.2"/>
  <cols>
    <col min="1" max="1" width="58.28515625" style="271" customWidth="1"/>
    <col min="2" max="2" width="11.140625" style="271" bestFit="1" customWidth="1"/>
    <col min="3" max="3" width="11.28515625" style="271" bestFit="1" customWidth="1"/>
    <col min="4" max="16384" width="9.140625" style="271"/>
  </cols>
  <sheetData>
    <row r="1" spans="1:7" x14ac:dyDescent="0.2">
      <c r="A1" s="11" t="s">
        <v>209</v>
      </c>
    </row>
    <row r="2" spans="1:7" x14ac:dyDescent="0.2">
      <c r="A2" s="276" t="s">
        <v>270</v>
      </c>
    </row>
    <row r="3" spans="1:7" x14ac:dyDescent="0.2">
      <c r="A3" s="276" t="s">
        <v>296</v>
      </c>
    </row>
    <row r="4" spans="1:7" x14ac:dyDescent="0.2">
      <c r="A4" s="7" t="s">
        <v>294</v>
      </c>
    </row>
    <row r="5" spans="1:7" x14ac:dyDescent="0.2">
      <c r="A5" s="7"/>
    </row>
    <row r="6" spans="1:7" s="4" customFormat="1" ht="15.6" customHeight="1" x14ac:dyDescent="0.2">
      <c r="A6" s="296" t="s">
        <v>301</v>
      </c>
      <c r="B6" s="138"/>
      <c r="C6" s="138"/>
      <c r="D6" s="138"/>
      <c r="E6" s="138"/>
      <c r="F6" s="138"/>
      <c r="G6" s="6"/>
    </row>
    <row r="7" spans="1:7" s="4" customFormat="1" ht="16.5" customHeight="1" x14ac:dyDescent="0.2">
      <c r="A7" s="296" t="s">
        <v>298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0" t="s">
        <v>290</v>
      </c>
      <c r="B9" s="341"/>
      <c r="C9" s="342"/>
    </row>
    <row r="10" spans="1:7" s="277" customFormat="1" ht="18" x14ac:dyDescent="0.25">
      <c r="A10" s="292"/>
      <c r="B10" s="291"/>
      <c r="C10" s="293"/>
    </row>
    <row r="11" spans="1:7" s="107" customFormat="1" ht="15" x14ac:dyDescent="0.25">
      <c r="A11" s="278" t="s">
        <v>291</v>
      </c>
      <c r="B11" s="279" t="s">
        <v>271</v>
      </c>
      <c r="C11" s="280" t="s">
        <v>149</v>
      </c>
    </row>
    <row r="12" spans="1:7" ht="14.25" x14ac:dyDescent="0.2">
      <c r="A12" s="281" t="s">
        <v>279</v>
      </c>
      <c r="B12" s="282" t="s">
        <v>272</v>
      </c>
      <c r="C12" s="204">
        <v>15550</v>
      </c>
    </row>
    <row r="13" spans="1:7" ht="14.25" x14ac:dyDescent="0.2">
      <c r="A13" s="203" t="s">
        <v>280</v>
      </c>
      <c r="B13" s="283" t="s">
        <v>277</v>
      </c>
      <c r="C13" s="284">
        <f>0.0362741*C12^0.2336249</f>
        <v>0.34585116258010817</v>
      </c>
    </row>
    <row r="14" spans="1:7" ht="14.25" x14ac:dyDescent="0.2">
      <c r="A14" s="203" t="s">
        <v>281</v>
      </c>
      <c r="B14" s="283" t="s">
        <v>278</v>
      </c>
      <c r="C14" s="285">
        <f>C12*C13/1000</f>
        <v>5.3779855781206827</v>
      </c>
    </row>
    <row r="15" spans="1:7" ht="14.25" x14ac:dyDescent="0.2">
      <c r="A15" s="203" t="s">
        <v>287</v>
      </c>
      <c r="B15" s="283" t="s">
        <v>273</v>
      </c>
      <c r="C15" s="286">
        <f>(C14*30)</f>
        <v>161.33956734362047</v>
      </c>
    </row>
    <row r="16" spans="1:7" ht="14.25" x14ac:dyDescent="0.2">
      <c r="A16" s="203" t="s">
        <v>283</v>
      </c>
      <c r="B16" s="283" t="s">
        <v>95</v>
      </c>
      <c r="C16" s="289">
        <v>6</v>
      </c>
    </row>
    <row r="17" spans="1:3" ht="14.25" x14ac:dyDescent="0.2">
      <c r="A17" s="203" t="s">
        <v>282</v>
      </c>
      <c r="B17" s="283" t="s">
        <v>278</v>
      </c>
      <c r="C17" s="285">
        <f>IFERROR(C14*7/C16,0)</f>
        <v>6.2743165078074625</v>
      </c>
    </row>
    <row r="18" spans="1:3" ht="14.25" x14ac:dyDescent="0.2">
      <c r="A18" s="281" t="s">
        <v>274</v>
      </c>
      <c r="B18" s="283" t="s">
        <v>275</v>
      </c>
      <c r="C18" s="227">
        <v>500</v>
      </c>
    </row>
    <row r="19" spans="1:3" ht="14.25" x14ac:dyDescent="0.2">
      <c r="A19" s="203" t="s">
        <v>288</v>
      </c>
      <c r="B19" s="283"/>
      <c r="C19" s="204">
        <v>2</v>
      </c>
    </row>
    <row r="20" spans="1:3" ht="14.25" x14ac:dyDescent="0.2">
      <c r="A20" s="281" t="s">
        <v>289</v>
      </c>
      <c r="B20" s="283" t="s">
        <v>276</v>
      </c>
      <c r="C20" s="204">
        <v>19</v>
      </c>
    </row>
    <row r="21" spans="1:3" ht="14.25" x14ac:dyDescent="0.2">
      <c r="A21" s="203" t="s">
        <v>284</v>
      </c>
      <c r="B21" s="283" t="s">
        <v>273</v>
      </c>
      <c r="C21" s="227">
        <f>IF(AND(C20&gt;=15,C19=1),5.8,C20/2)</f>
        <v>9.5</v>
      </c>
    </row>
    <row r="22" spans="1:3" ht="14.25" x14ac:dyDescent="0.2">
      <c r="A22" s="281" t="s">
        <v>285</v>
      </c>
      <c r="B22" s="283"/>
      <c r="C22" s="285">
        <f>IFERROR(C17/C21,0)</f>
        <v>0.6604543692428908</v>
      </c>
    </row>
    <row r="23" spans="1:3" ht="14.25" x14ac:dyDescent="0.2">
      <c r="A23" s="281" t="s">
        <v>292</v>
      </c>
      <c r="B23" s="283"/>
      <c r="C23" s="294">
        <v>1</v>
      </c>
    </row>
    <row r="24" spans="1:3" ht="15" thickBot="1" x14ac:dyDescent="0.25">
      <c r="A24" s="287" t="s">
        <v>286</v>
      </c>
      <c r="B24" s="288"/>
      <c r="C24" s="290">
        <f>IFERROR(C22/C23,0)</f>
        <v>0.6604543692428908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Rafael Oliveira</cp:lastModifiedBy>
  <cp:lastPrinted>2020-12-18T13:35:43Z</cp:lastPrinted>
  <dcterms:created xsi:type="dcterms:W3CDTF">2000-12-13T10:02:50Z</dcterms:created>
  <dcterms:modified xsi:type="dcterms:W3CDTF">2020-12-18T13:41:02Z</dcterms:modified>
</cp:coreProperties>
</file>