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blma tlao\Desktop\RAFAEL PREFEITURA 2020\LIXO 2019\2020_coleta de residuos solidos\REV.IMPUGNAÇÃO 15_07_2020\"/>
    </mc:Choice>
  </mc:AlternateContent>
  <bookViews>
    <workbookView xWindow="12105" yWindow="-15" windowWidth="11910" windowHeight="9840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Domiciliar'!$A$1:$F$277</definedName>
    <definedName name="_xlnm.Print_Area" localSheetId="1">'2.Encargos Sociais'!$A$1:$C$39</definedName>
  </definedNames>
  <calcPr calcId="152511"/>
</workbook>
</file>

<file path=xl/calcChain.xml><?xml version="1.0" encoding="utf-8"?>
<calcChain xmlns="http://schemas.openxmlformats.org/spreadsheetml/2006/main">
  <c r="D103" i="2" l="1"/>
  <c r="C21" i="9" l="1"/>
  <c r="C27" i="5" l="1"/>
  <c r="C188" i="2" l="1"/>
  <c r="C187" i="2"/>
  <c r="C189" i="2"/>
  <c r="A25" i="2" l="1"/>
  <c r="A24" i="2"/>
  <c r="A23" i="2"/>
  <c r="A15" i="2"/>
  <c r="A14" i="2"/>
  <c r="A6" i="2"/>
  <c r="C13" i="9" l="1"/>
  <c r="C14" i="9" s="1"/>
  <c r="C15" i="9" l="1"/>
  <c r="C17" i="9"/>
  <c r="C22" i="9" s="1"/>
  <c r="C24" i="9" s="1"/>
  <c r="C158" i="2"/>
  <c r="C163" i="2"/>
  <c r="E34" i="2" l="1"/>
  <c r="E33" i="2"/>
  <c r="E32" i="2"/>
  <c r="E31" i="2"/>
  <c r="E38" i="2"/>
  <c r="C182" i="2" l="1"/>
  <c r="C177" i="2"/>
  <c r="D207" i="2"/>
  <c r="D205" i="2"/>
  <c r="D203" i="2"/>
  <c r="D201" i="2"/>
  <c r="D137" i="2" l="1"/>
  <c r="E137" i="2" s="1"/>
  <c r="E121" i="2"/>
  <c r="E122" i="2"/>
  <c r="E123" i="2"/>
  <c r="E124" i="2"/>
  <c r="E125" i="2"/>
  <c r="E126" i="2"/>
  <c r="E127" i="2"/>
  <c r="E128" i="2"/>
  <c r="E129" i="2"/>
  <c r="E120" i="2"/>
  <c r="C222" i="2" l="1"/>
  <c r="D82" i="2"/>
  <c r="A22" i="2"/>
  <c r="A21" i="2"/>
  <c r="A20" i="2"/>
  <c r="A19" i="2"/>
  <c r="A18" i="2"/>
  <c r="A17" i="2"/>
  <c r="A16" i="2"/>
  <c r="A13" i="2"/>
  <c r="A12" i="2"/>
  <c r="A11" i="2"/>
  <c r="A10" i="2"/>
  <c r="A9" i="2"/>
  <c r="A8" i="2"/>
  <c r="A7" i="2"/>
  <c r="C20" i="8"/>
  <c r="E247" i="2"/>
  <c r="E191" i="2"/>
  <c r="E183" i="2"/>
  <c r="E167" i="2"/>
  <c r="E145" i="2"/>
  <c r="E132" i="2"/>
  <c r="E111" i="2"/>
  <c r="E91" i="2"/>
  <c r="E77" i="2"/>
  <c r="E65" i="2"/>
  <c r="E53" i="2"/>
  <c r="D171" i="2"/>
  <c r="C15" i="4"/>
  <c r="C20" i="4" s="1"/>
  <c r="C256" i="2" s="1"/>
  <c r="F13" i="4"/>
  <c r="E13" i="4"/>
  <c r="D13" i="4"/>
  <c r="C17" i="8"/>
  <c r="C29" i="5"/>
  <c r="C86" i="2"/>
  <c r="C84" i="2"/>
  <c r="D81" i="2"/>
  <c r="E69" i="2"/>
  <c r="D98" i="2" s="1"/>
  <c r="C98" i="2"/>
  <c r="C220" i="2"/>
  <c r="E220" i="2" s="1"/>
  <c r="C199" i="2"/>
  <c r="C201" i="2" s="1"/>
  <c r="E201" i="2" s="1"/>
  <c r="D199" i="2"/>
  <c r="D208" i="2" s="1"/>
  <c r="E155" i="2"/>
  <c r="D176" i="2"/>
  <c r="C164" i="2"/>
  <c r="C159" i="2"/>
  <c r="C59" i="2"/>
  <c r="D57" i="2"/>
  <c r="C243" i="2"/>
  <c r="C245" i="2" s="1"/>
  <c r="E245" i="2" s="1"/>
  <c r="D246" i="2" s="1"/>
  <c r="E246" i="2" s="1"/>
  <c r="C160" i="2"/>
  <c r="C176" i="2" s="1"/>
  <c r="C97" i="2"/>
  <c r="A31" i="2"/>
  <c r="A32" i="2"/>
  <c r="A33" i="2"/>
  <c r="A34" i="2"/>
  <c r="A38" i="2"/>
  <c r="E47" i="2"/>
  <c r="D97" i="2" s="1"/>
  <c r="C60" i="2"/>
  <c r="A103" i="2"/>
  <c r="A109" i="2" s="1"/>
  <c r="A104" i="2"/>
  <c r="A110" i="2" s="1"/>
  <c r="E130" i="2"/>
  <c r="D138" i="2"/>
  <c r="E138" i="2" s="1"/>
  <c r="D139" i="2"/>
  <c r="E139" i="2" s="1"/>
  <c r="D140" i="2"/>
  <c r="E140" i="2" s="1"/>
  <c r="D141" i="2"/>
  <c r="E141" i="2" s="1"/>
  <c r="D142" i="2"/>
  <c r="E142" i="2" s="1"/>
  <c r="E143" i="2"/>
  <c r="E218" i="2"/>
  <c r="E189" i="2"/>
  <c r="E188" i="2"/>
  <c r="E231" i="2"/>
  <c r="E234" i="2"/>
  <c r="E235" i="2"/>
  <c r="E232" i="2"/>
  <c r="E233" i="2"/>
  <c r="D72" i="2" l="1"/>
  <c r="E72" i="2" s="1"/>
  <c r="C31" i="5"/>
  <c r="C32" i="5" s="1"/>
  <c r="C30" i="5"/>
  <c r="C31" i="8" s="1"/>
  <c r="D158" i="2"/>
  <c r="E158" i="2" s="1"/>
  <c r="D187" i="2"/>
  <c r="E81" i="2"/>
  <c r="D84" i="2"/>
  <c r="E84" i="2" s="1"/>
  <c r="C205" i="2"/>
  <c r="E205" i="2" s="1"/>
  <c r="D59" i="2"/>
  <c r="E59" i="2" s="1"/>
  <c r="C207" i="2"/>
  <c r="E207" i="2" s="1"/>
  <c r="F236" i="2"/>
  <c r="F238" i="2" s="1"/>
  <c r="E23" i="2" s="1"/>
  <c r="C104" i="2"/>
  <c r="E104" i="2" s="1"/>
  <c r="E199" i="2"/>
  <c r="E57" i="2"/>
  <c r="E160" i="2"/>
  <c r="C178" i="2" s="1"/>
  <c r="D131" i="2"/>
  <c r="C103" i="2"/>
  <c r="E103" i="2" s="1"/>
  <c r="C131" i="2"/>
  <c r="E35" i="2"/>
  <c r="C109" i="2"/>
  <c r="E109" i="2" s="1"/>
  <c r="E97" i="2"/>
  <c r="E176" i="2"/>
  <c r="C110" i="2"/>
  <c r="E110" i="2" s="1"/>
  <c r="D48" i="2"/>
  <c r="E48" i="2" s="1"/>
  <c r="E49" i="2" s="1"/>
  <c r="D50" i="2" s="1"/>
  <c r="C144" i="2"/>
  <c r="C203" i="2"/>
  <c r="E203" i="2" s="1"/>
  <c r="C213" i="2"/>
  <c r="E213" i="2" s="1"/>
  <c r="F214" i="2" s="1"/>
  <c r="E21" i="2" s="1"/>
  <c r="E243" i="2"/>
  <c r="D244" i="2" s="1"/>
  <c r="E244" i="2" s="1"/>
  <c r="F247" i="2" s="1"/>
  <c r="F249" i="2" s="1"/>
  <c r="E24" i="2" s="1"/>
  <c r="E171" i="2"/>
  <c r="D221" i="2"/>
  <c r="E221" i="2" s="1"/>
  <c r="D222" i="2" s="1"/>
  <c r="E222" i="2" s="1"/>
  <c r="F223" i="2" s="1"/>
  <c r="E22" i="2" s="1"/>
  <c r="E98" i="2"/>
  <c r="D144" i="2"/>
  <c r="E73" i="2"/>
  <c r="C30" i="8" l="1"/>
  <c r="C37" i="5"/>
  <c r="C27" i="8" s="1"/>
  <c r="C35" i="8" s="1"/>
  <c r="D159" i="2"/>
  <c r="E159" i="2" s="1"/>
  <c r="E187" i="2"/>
  <c r="D190" i="2" s="1"/>
  <c r="E190" i="2" s="1"/>
  <c r="F191" i="2" s="1"/>
  <c r="E19" i="2" s="1"/>
  <c r="C173" i="2"/>
  <c r="C174" i="2" s="1"/>
  <c r="D175" i="2" s="1"/>
  <c r="E175" i="2" s="1"/>
  <c r="C28" i="8"/>
  <c r="C19" i="8" s="1"/>
  <c r="C25" i="8" s="1"/>
  <c r="C34" i="8" s="1"/>
  <c r="D60" i="2"/>
  <c r="E60" i="2" s="1"/>
  <c r="D86" i="2"/>
  <c r="E86" i="2" s="1"/>
  <c r="F105" i="2"/>
  <c r="E12" i="2" s="1"/>
  <c r="F111" i="2"/>
  <c r="E13" i="2" s="1"/>
  <c r="E144" i="2"/>
  <c r="F145" i="2" s="1"/>
  <c r="E131" i="2"/>
  <c r="F132" i="2" s="1"/>
  <c r="D163" i="2"/>
  <c r="E163" i="2" s="1"/>
  <c r="D164" i="2" s="1"/>
  <c r="E164" i="2" s="1"/>
  <c r="F99" i="2"/>
  <c r="E11" i="2" s="1"/>
  <c r="F209" i="2"/>
  <c r="E20" i="2" s="1"/>
  <c r="D74" i="2"/>
  <c r="C29" i="8" l="1"/>
  <c r="C32" i="8" s="1"/>
  <c r="C36" i="8"/>
  <c r="E165" i="2"/>
  <c r="D166" i="2" s="1"/>
  <c r="E166" i="2" s="1"/>
  <c r="F167" i="2" s="1"/>
  <c r="E17" i="2" s="1"/>
  <c r="C179" i="2"/>
  <c r="D180" i="2" s="1"/>
  <c r="E180" i="2" s="1"/>
  <c r="E181" i="2" s="1"/>
  <c r="D182" i="2" s="1"/>
  <c r="E182" i="2" s="1"/>
  <c r="F183" i="2" s="1"/>
  <c r="F147" i="2"/>
  <c r="E14" i="2" s="1"/>
  <c r="E87" i="2"/>
  <c r="D88" i="2" s="1"/>
  <c r="E61" i="2"/>
  <c r="C37" i="8" l="1"/>
  <c r="C74" i="2" s="1"/>
  <c r="E18" i="2"/>
  <c r="E16" i="2" s="1"/>
  <c r="F226" i="2"/>
  <c r="E15" i="2" s="1"/>
  <c r="D62" i="2"/>
  <c r="C62" i="2" l="1"/>
  <c r="E62" i="2" s="1"/>
  <c r="E63" i="2" s="1"/>
  <c r="D64" i="2" s="1"/>
  <c r="E64" i="2" s="1"/>
  <c r="F65" i="2" s="1"/>
  <c r="E8" i="2" s="1"/>
  <c r="C50" i="2"/>
  <c r="E50" i="2" s="1"/>
  <c r="E51" i="2" s="1"/>
  <c r="D52" i="2" s="1"/>
  <c r="E52" i="2" s="1"/>
  <c r="F53" i="2" s="1"/>
  <c r="E7" i="2" s="1"/>
  <c r="C88" i="2"/>
  <c r="E88" i="2" s="1"/>
  <c r="E89" i="2" s="1"/>
  <c r="D90" i="2" s="1"/>
  <c r="E90" i="2" s="1"/>
  <c r="F91" i="2" s="1"/>
  <c r="E10" i="2" s="1"/>
  <c r="E74" i="2"/>
  <c r="E75" i="2" s="1"/>
  <c r="D76" i="2" s="1"/>
  <c r="E76" i="2" s="1"/>
  <c r="F77" i="2" s="1"/>
  <c r="E9" i="2" s="1"/>
  <c r="F113" i="2" l="1"/>
  <c r="F251" i="2" s="1"/>
  <c r="E6" i="2" l="1"/>
  <c r="D256" i="2"/>
  <c r="E256" i="2" s="1"/>
  <c r="F257" i="2" s="1"/>
  <c r="F259" i="2" s="1"/>
  <c r="E25" i="2" s="1"/>
  <c r="E26" i="2" l="1"/>
  <c r="F263" i="2"/>
  <c r="F6" i="2" l="1"/>
  <c r="F24" i="2"/>
  <c r="F8" i="2"/>
  <c r="F14" i="2"/>
  <c r="F7" i="2"/>
  <c r="F13" i="2"/>
  <c r="F10" i="2"/>
  <c r="F15" i="2"/>
  <c r="F22" i="2"/>
  <c r="F21" i="2"/>
  <c r="F9" i="2"/>
  <c r="F16" i="2"/>
  <c r="F17" i="2"/>
  <c r="F18" i="2"/>
  <c r="F12" i="2"/>
  <c r="F19" i="2"/>
  <c r="F11" i="2"/>
  <c r="F23" i="2"/>
  <c r="F20" i="2"/>
  <c r="F25" i="2"/>
  <c r="F26" i="2" l="1"/>
</calcChain>
</file>

<file path=xl/comments1.xml><?xml version="1.0" encoding="utf-8"?>
<comments xmlns="http://schemas.openxmlformats.org/spreadsheetml/2006/main">
  <authors>
    <author>Clauber Bridi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0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62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4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69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70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71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2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74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83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85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88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0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95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96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97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98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03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04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09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10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2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30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3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3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3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3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55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56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57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58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0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61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62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63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6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72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8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89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195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198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198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00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00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02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02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04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04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06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06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13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18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18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19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20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21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31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2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3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4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5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40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3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45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56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cbridi</author>
    <author>Clauber Bridi</author>
    <author>Omar</author>
  </authors>
  <commentList>
    <comment ref="C12" authorId="0" shape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 shape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Informe o número de dias de coleta por semana</t>
        </r>
      </text>
    </comment>
    <comment ref="C19" authorId="0" shape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 shape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 shapeId="0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<sst xmlns="http://schemas.openxmlformats.org/spreadsheetml/2006/main" count="555" uniqueCount="317">
  <si>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</si>
  <si>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</si>
  <si>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</si>
  <si>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</si>
  <si>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</si>
  <si>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</si>
  <si>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</si>
  <si>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</si>
  <si>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</si>
  <si>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</si>
  <si>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</si>
  <si>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</si>
  <si>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</si>
  <si>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</si>
  <si>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</si>
  <si>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</si>
  <si>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</si>
  <si>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</si>
  <si>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</si>
  <si>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</si>
  <si>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</si>
  <si>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</si>
  <si>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</si>
  <si>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</si>
  <si>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</si>
  <si>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</si>
  <si>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</si>
  <si>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</si>
  <si>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</si>
  <si>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</si>
  <si>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</si>
  <si>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</si>
  <si>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R$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</si>
  <si>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</si>
  <si>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</si>
  <si>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</si>
  <si>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</si>
  <si>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</si>
  <si>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</si>
  <si>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</si>
  <si>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</si>
  <si>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</si>
  <si>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</si>
  <si>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</si>
  <si>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</si>
  <si>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</si>
  <si>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</si>
  <si>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</si>
  <si>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</si>
  <si>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</si>
  <si>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</si>
  <si>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</si>
  <si>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</si>
  <si>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</si>
  <si>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</si>
  <si>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</si>
  <si>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</si>
  <si>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</si>
  <si>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</si>
  <si>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</si>
  <si>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</si>
  <si>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</si>
  <si>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</si>
  <si>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</si>
  <si>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</si>
  <si>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</si>
  <si>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</si>
  <si>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</si>
  <si>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</si>
  <si>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</si>
  <si>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</si>
  <si>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</si>
  <si>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</si>
  <si>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</si>
  <si>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</si>
  <si>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</si>
  <si>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</si>
  <si>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</si>
  <si>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</si>
  <si>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</si>
  <si>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</si>
  <si>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</si>
  <si>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</si>
  <si>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</si>
  <si>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</si>
  <si>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</si>
  <si>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</si>
  <si>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</si>
  <si>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</si>
  <si>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</si>
  <si>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</si>
  <si>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</si>
  <si>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</si>
  <si>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</si>
  <si>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</si>
  <si>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</si>
  <si>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</si>
  <si>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</si>
  <si>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</si>
  <si>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</si>
  <si>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</si>
  <si>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</si>
  <si>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</si>
  <si>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</si>
  <si>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</si>
  <si>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</si>
  <si>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</si>
  <si>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</si>
  <si>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</si>
  <si>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</si>
  <si>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</si>
  <si>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</si>
  <si>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</si>
  <si>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</si>
  <si>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</si>
  <si>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</si>
  <si>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</si>
  <si>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</si>
  <si>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</si>
  <si>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</si>
  <si>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</si>
  <si>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</si>
  <si>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</si>
  <si>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</si>
  <si>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</si>
  <si>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</si>
  <si>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</si>
  <si>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</si>
  <si>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</si>
  <si>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</si>
  <si>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</si>
  <si>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</si>
  <si>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</si>
  <si>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</si>
  <si>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</si>
  <si>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</si>
  <si>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</si>
  <si>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</si>
  <si>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</si>
  <si>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</si>
  <si>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</si>
  <si>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</si>
  <si>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</si>
  <si>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</si>
  <si>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</si>
  <si>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</si>
  <si>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</si>
  <si>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</si>
  <si>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</si>
  <si>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</si>
  <si>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</si>
  <si>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</si>
  <si>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</si>
  <si>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</si>
  <si>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</si>
  <si>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</si>
  <si>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</si>
  <si>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</si>
  <si>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</si>
  <si>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</si>
  <si>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</si>
  <si>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</si>
  <si>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</si>
  <si>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</si>
  <si>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</si>
  <si>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</si>
  <si>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</si>
  <si>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</si>
  <si>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</si>
  <si>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</si>
  <si>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</si>
  <si>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</si>
  <si>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</si>
  <si>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</si>
  <si>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</si>
  <si>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</si>
  <si>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</si>
  <si>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</si>
  <si>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</si>
  <si>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</si>
  <si>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</si>
  <si>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</si>
  <si>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</si>
  <si>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</si>
  <si>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</si>
  <si>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</si>
  <si>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</si>
  <si>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</si>
  <si>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</si>
  <si>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</si>
  <si>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</si>
  <si>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</si>
  <si>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</si>
  <si>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</si>
  <si>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</si>
  <si>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</si>
  <si>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</si>
  <si>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</si>
  <si>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</si>
  <si>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</si>
  <si>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</si>
  <si>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</si>
  <si>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</si>
  <si>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</si>
  <si>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</si>
  <si>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</si>
  <si>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</si>
  <si>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</si>
  <si>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</si>
  <si>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</si>
  <si>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</si>
  <si>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</si>
  <si>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</si>
  <si>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</si>
  <si>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</si>
  <si>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</si>
  <si>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</si>
  <si>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</si>
  <si>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</si>
  <si>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</si>
  <si>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</si>
  <si>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</si>
  <si>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C2</t>
  </si>
  <si>
    <t>B3</t>
  </si>
  <si>
    <t xml:space="preserve">1. Coleta de Resíduos Sólidos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</si>
  <si>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</si>
  <si>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</si>
  <si>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</si>
  <si>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</si>
  <si>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</si>
  <si>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</si>
  <si>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</si>
  <si>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</si>
  <si>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</si>
  <si>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</si>
  <si>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</si>
  <si>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</si>
  <si>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</si>
  <si>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</si>
  <si>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</si>
  <si>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</si>
  <si>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</si>
  <si>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</si>
  <si>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</si>
  <si>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</si>
  <si>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</si>
  <si>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</si>
  <si>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</si>
  <si>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</si>
  <si>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</si>
  <si>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</si>
  <si>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</si>
  <si>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</si>
  <si>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</si>
  <si>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</si>
  <si>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</si>
  <si>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</si>
  <si>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</si>
  <si>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</si>
  <si>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</si>
  <si>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</si>
  <si>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</si>
  <si>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</si>
  <si>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</si>
  <si>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</si>
  <si>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</si>
  <si>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</si>
  <si>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</si>
  <si>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</si>
  <si>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</si>
  <si>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</si>
  <si>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</si>
  <si>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</si>
  <si>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</si>
  <si>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</si>
  <si>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</si>
  <si>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</si>
  <si>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</si>
  <si>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</si>
  <si>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</si>
  <si>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</si>
  <si>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</si>
  <si>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</si>
  <si>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</si>
  <si>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</si>
  <si>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</si>
  <si>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</si>
  <si>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</si>
  <si>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</si>
  <si>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</si>
  <si>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</si>
  <si>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</si>
  <si>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</si>
  <si>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</si>
  <si>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</si>
  <si>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</si>
  <si>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</si>
  <si>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</si>
  <si>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Variação Emprego Absoluta de 01-03-2018 a 28-02-2019</t>
  </si>
  <si>
    <r>
      <t>3.1. Veículo Coletor Compactador</t>
    </r>
    <r>
      <rPr>
        <sz val="10"/>
        <color indexed="10"/>
        <rFont val="Arial"/>
        <family val="2"/>
      </rPr>
      <t xml:space="preserve"> 19</t>
    </r>
    <r>
      <rPr>
        <sz val="10"/>
        <rFont val="Arial"/>
        <family val="2"/>
      </rPr>
      <t xml:space="preserve"> m³</t>
    </r>
  </si>
  <si>
    <t>,</t>
  </si>
  <si>
    <t>Custo do jogo de pneus 275/80 R22,5</t>
  </si>
  <si>
    <t>Estoque recuperado início do Período 01-06-2018</t>
  </si>
  <si>
    <t>Estoque recuperado final do Período 30-06-2019</t>
  </si>
  <si>
    <t>Observações importantes:</t>
  </si>
  <si>
    <t>1) O valor do salário mensal é o definido pelo básico da categoria, conforme Convenções Coletivas dos respectivos sindicatos;</t>
  </si>
  <si>
    <t>2) Alimentação e refeição, bem como as obrigações trabalhistas dos coletores e motoristas foram determinadas de acordo com as disposições das Convenções Coletivas vigentes;</t>
  </si>
  <si>
    <t>4) Estão sendo consideradas 8 (oito) horas de trabalho diárias, para coletores e motorista, sendo que já estão inclusas horas de coleta e transporte.</t>
  </si>
  <si>
    <t>5) A composição de encargos sociais segue os modelos do Tribunal de Contas do Estado do RS - observar e realizar na planilha o preenchimento da "aba 3.CAGED";</t>
  </si>
  <si>
    <t>6) No valor correspondente ao Custo de Manutenção - item 3.1.5 - já está incluso o custo de lavagens do veículo;</t>
  </si>
  <si>
    <t>7) O veículo que está sendo considerado para referência é veículo zero quilômetro. O valor considerado para o caminhão foi obtido na tabela FIPE, para o veículo Mercedes-Benz, modelo Atego 2426. O valor do coletor é a média do valor praticado por empresas do ramo.</t>
  </si>
  <si>
    <t>9) Para o cálculo do BDI observar as referências mínimas e máximas constantes na "aba 4.BDI" da planilha de custos.</t>
  </si>
  <si>
    <t>10) As alíquotas utilizadas para ISS, PIS e COFINS, na planilha base, correspondem a uma empresa com tributação pelo lucro presumido. Cada licitante deverá utilizar as alíquotas de acordo com sua tributação, observada as orientações constantes do Edital.</t>
  </si>
  <si>
    <t>11) O valor do óleo diesel S10, foi extraido da Agência Nacional do Petróleo, Gás Natiral e Bio combustivel - ANP, período de 05/07/2020 a 11/07/2020.</t>
  </si>
  <si>
    <t>São Francisco de Assis, 13 de agosto de 2020.</t>
  </si>
  <si>
    <t>8) O veículo e o compactador que realizará os serviços deverá ter capacidade mínima de 19m3 e ano de fabricação não superior a 5 (cinco) anos (máximo 10 anos em todo o período do contrato). A licitante deverá informar para o cálculo da depreciação a idade do veículo, marca e modelo (para conferência) e taxa de depreciação correspondente.</t>
  </si>
  <si>
    <t>3) Para os coletores foi observada a Convenção Coletiva 2020/2020 do Sindicato Intermunicipal dos Empregados em Empresas de Asseio e Conservação e Serviços Terceirizados em Asseio e Conservação no RGS; e para o motorista foi observada a Convenção Coletiva 2020/2020 do Sindicato dos Empregados em Empresa de Transporte Rodoviário de Carga Seca do RS 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</si>
</sst>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2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0" fillId="0" borderId="9" xfId="3" applyFont="1" applyBorder="1" applyAlignment="1">
      <alignment vertical="center"/>
    </xf>
    <xf numFmtId="165" fontId="3" fillId="0" borderId="10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centerContinuous" vertical="center"/>
    </xf>
    <xf numFmtId="165" fontId="0" fillId="0" borderId="8" xfId="3" applyFont="1" applyBorder="1" applyAlignment="1">
      <alignment vertical="center"/>
    </xf>
    <xf numFmtId="165" fontId="3" fillId="0" borderId="11" xfId="3" applyFont="1" applyBorder="1" applyAlignment="1">
      <alignment horizontal="right" vertical="center"/>
    </xf>
    <xf numFmtId="165" fontId="0" fillId="0" borderId="12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3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5" fontId="13" fillId="2" borderId="15" xfId="3" applyFont="1" applyFill="1" applyBorder="1" applyAlignment="1">
      <alignment horizontal="center" vertical="center"/>
    </xf>
    <xf numFmtId="165" fontId="13" fillId="2" borderId="16" xfId="3" applyFont="1" applyFill="1" applyBorder="1" applyAlignment="1">
      <alignment horizontal="center" vertical="center"/>
    </xf>
    <xf numFmtId="165" fontId="3" fillId="0" borderId="17" xfId="3" applyFont="1" applyBorder="1" applyAlignment="1">
      <alignment horizontal="center" vertical="center"/>
    </xf>
    <xf numFmtId="165" fontId="1" fillId="0" borderId="12" xfId="3" applyFont="1" applyBorder="1" applyAlignment="1">
      <alignment horizontal="left" vertical="center"/>
    </xf>
    <xf numFmtId="165" fontId="6" fillId="0" borderId="8" xfId="3" applyFont="1" applyBorder="1" applyAlignment="1">
      <alignment vertical="center"/>
    </xf>
    <xf numFmtId="165" fontId="6" fillId="0" borderId="12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8" xfId="3" applyNumberFormat="1" applyFont="1" applyBorder="1" applyAlignment="1">
      <alignment horizontal="center" vertical="center"/>
    </xf>
    <xf numFmtId="165" fontId="3" fillId="0" borderId="26" xfId="3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165" fontId="6" fillId="0" borderId="17" xfId="3" applyFont="1" applyBorder="1" applyAlignment="1">
      <alignment vertical="center"/>
    </xf>
    <xf numFmtId="165" fontId="6" fillId="0" borderId="9" xfId="3" applyFont="1" applyBorder="1" applyAlignment="1">
      <alignment vertical="center"/>
    </xf>
    <xf numFmtId="0" fontId="0" fillId="0" borderId="9" xfId="0" applyBorder="1" applyAlignment="1">
      <alignment vertical="center"/>
    </xf>
    <xf numFmtId="1" fontId="6" fillId="0" borderId="10" xfId="3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1" fontId="3" fillId="0" borderId="29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3" fillId="2" borderId="4" xfId="3" applyNumberFormat="1" applyFont="1" applyFill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165" fontId="13" fillId="2" borderId="31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5" fontId="3" fillId="0" borderId="33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2" xfId="3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3" fillId="0" borderId="8" xfId="3" applyFont="1" applyBorder="1" applyAlignment="1">
      <alignment vertical="center"/>
    </xf>
    <xf numFmtId="10" fontId="3" fillId="0" borderId="13" xfId="2" applyNumberFormat="1" applyFont="1" applyBorder="1" applyAlignment="1">
      <alignment vertical="center"/>
    </xf>
    <xf numFmtId="165" fontId="3" fillId="0" borderId="36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6" fillId="0" borderId="37" xfId="3" applyFont="1" applyBorder="1" applyAlignment="1">
      <alignment vertical="center"/>
    </xf>
    <xf numFmtId="165" fontId="6" fillId="0" borderId="38" xfId="3" applyFont="1" applyBorder="1" applyAlignment="1">
      <alignment vertical="center"/>
    </xf>
    <xf numFmtId="165" fontId="6" fillId="0" borderId="39" xfId="3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1" fontId="6" fillId="0" borderId="35" xfId="3" applyNumberFormat="1" applyFont="1" applyBorder="1" applyAlignment="1">
      <alignment horizontal="center" vertical="center"/>
    </xf>
    <xf numFmtId="165" fontId="3" fillId="0" borderId="12" xfId="3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165" fontId="6" fillId="6" borderId="1" xfId="3" applyFont="1" applyFill="1" applyBorder="1" applyAlignment="1">
      <alignment vertical="center"/>
    </xf>
    <xf numFmtId="9" fontId="3" fillId="0" borderId="16" xfId="2" applyFont="1" applyBorder="1" applyAlignment="1">
      <alignment vertical="center"/>
    </xf>
    <xf numFmtId="10" fontId="6" fillId="0" borderId="13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7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2" xfId="0" applyFont="1" applyBorder="1"/>
    <xf numFmtId="0" fontId="6" fillId="0" borderId="0" xfId="0" applyFont="1" applyBorder="1"/>
    <xf numFmtId="0" fontId="18" fillId="0" borderId="45" xfId="0" applyFont="1" applyBorder="1"/>
    <xf numFmtId="0" fontId="18" fillId="3" borderId="18" xfId="0" applyFont="1" applyFill="1" applyBorder="1"/>
    <xf numFmtId="0" fontId="18" fillId="0" borderId="21" xfId="0" applyFont="1" applyBorder="1"/>
    <xf numFmtId="0" fontId="18" fillId="0" borderId="46" xfId="0" applyFont="1" applyBorder="1"/>
    <xf numFmtId="0" fontId="18" fillId="0" borderId="18" xfId="0" applyFont="1" applyBorder="1"/>
    <xf numFmtId="0" fontId="18" fillId="0" borderId="26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" fontId="19" fillId="7" borderId="34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18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18" xfId="0" applyNumberFormat="1" applyFont="1" applyBorder="1" applyAlignment="1">
      <alignment horizontal="right" vertical="center"/>
    </xf>
    <xf numFmtId="0" fontId="19" fillId="5" borderId="2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18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2" xfId="0" applyFont="1" applyFill="1" applyBorder="1" applyAlignment="1">
      <alignment horizontal="left" vertical="center"/>
    </xf>
    <xf numFmtId="0" fontId="23" fillId="9" borderId="34" xfId="0" applyFont="1" applyFill="1" applyBorder="1" applyAlignment="1">
      <alignment horizontal="left" vertical="center"/>
    </xf>
    <xf numFmtId="10" fontId="23" fillId="9" borderId="3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3" xfId="0" applyFont="1" applyBorder="1"/>
    <xf numFmtId="0" fontId="5" fillId="0" borderId="21" xfId="0" applyFont="1" applyBorder="1"/>
    <xf numFmtId="0" fontId="5" fillId="3" borderId="18" xfId="0" applyFont="1" applyFill="1" applyBorder="1"/>
    <xf numFmtId="0" fontId="5" fillId="0" borderId="45" xfId="0" applyFont="1" applyBorder="1"/>
    <xf numFmtId="0" fontId="5" fillId="3" borderId="4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7" fillId="0" borderId="46" xfId="0" applyFont="1" applyBorder="1"/>
    <xf numFmtId="0" fontId="7" fillId="0" borderId="36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1" xfId="2" applyFont="1" applyBorder="1"/>
    <xf numFmtId="9" fontId="5" fillId="0" borderId="1" xfId="2" applyFont="1" applyBorder="1" applyAlignment="1">
      <alignment horizontal="center"/>
    </xf>
    <xf numFmtId="9" fontId="5" fillId="0" borderId="18" xfId="2" applyFont="1" applyBorder="1"/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10" fontId="5" fillId="3" borderId="10" xfId="0" applyNumberFormat="1" applyFont="1" applyFill="1" applyBorder="1" applyAlignment="1">
      <alignment horizontal="center" vertical="center"/>
    </xf>
    <xf numFmtId="10" fontId="5" fillId="0" borderId="18" xfId="2" applyNumberFormat="1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8" xfId="0" applyFont="1" applyBorder="1"/>
    <xf numFmtId="0" fontId="5" fillId="0" borderId="22" xfId="0" applyFont="1" applyFill="1" applyBorder="1" applyAlignment="1">
      <alignment horizontal="left" vertical="center"/>
    </xf>
    <xf numFmtId="10" fontId="5" fillId="3" borderId="3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1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8" xfId="2" applyNumberFormat="1" applyFont="1" applyBorder="1" applyAlignment="1">
      <alignment horizontal="right"/>
    </xf>
    <xf numFmtId="10" fontId="5" fillId="0" borderId="22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0" fontId="6" fillId="0" borderId="50" xfId="0" applyFont="1" applyBorder="1"/>
    <xf numFmtId="0" fontId="20" fillId="0" borderId="50" xfId="0" applyFont="1" applyBorder="1" applyAlignment="1">
      <alignment horizontal="justify"/>
    </xf>
    <xf numFmtId="0" fontId="20" fillId="0" borderId="51" xfId="0" applyFont="1" applyBorder="1" applyAlignment="1">
      <alignment horizontal="justify"/>
    </xf>
    <xf numFmtId="0" fontId="17" fillId="10" borderId="49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5" fontId="3" fillId="0" borderId="9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8" xfId="3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165" fontId="3" fillId="0" borderId="52" xfId="3" applyFont="1" applyBorder="1" applyAlignment="1">
      <alignment horizontal="center" vertical="center"/>
    </xf>
    <xf numFmtId="165" fontId="3" fillId="0" borderId="52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1" xfId="0" applyFont="1" applyBorder="1"/>
    <xf numFmtId="0" fontId="7" fillId="0" borderId="1" xfId="0" applyFont="1" applyBorder="1"/>
    <xf numFmtId="0" fontId="7" fillId="0" borderId="18" xfId="0" applyFont="1" applyBorder="1"/>
    <xf numFmtId="0" fontId="5" fillId="0" borderId="2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0" fontId="24" fillId="0" borderId="18" xfId="3" applyNumberFormat="1" applyFont="1" applyBorder="1" applyAlignment="1">
      <alignment horizontal="center" vertical="center" wrapText="1"/>
    </xf>
    <xf numFmtId="171" fontId="5" fillId="0" borderId="18" xfId="0" applyNumberFormat="1" applyFont="1" applyBorder="1"/>
    <xf numFmtId="2" fontId="5" fillId="0" borderId="18" xfId="0" applyNumberFormat="1" applyFont="1" applyBorder="1"/>
    <xf numFmtId="0" fontId="5" fillId="0" borderId="22" xfId="0" applyFont="1" applyFill="1" applyBorder="1"/>
    <xf numFmtId="0" fontId="5" fillId="0" borderId="34" xfId="0" applyFont="1" applyBorder="1"/>
    <xf numFmtId="171" fontId="5" fillId="3" borderId="18" xfId="0" applyNumberFormat="1" applyFont="1" applyFill="1" applyBorder="1"/>
    <xf numFmtId="171" fontId="5" fillId="0" borderId="35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72" fontId="5" fillId="3" borderId="18" xfId="0" applyNumberFormat="1" applyFont="1" applyFill="1" applyBorder="1"/>
    <xf numFmtId="0" fontId="5" fillId="0" borderId="21" xfId="0" applyFont="1" applyBorder="1" applyAlignment="1">
      <alignment horizontal="right"/>
    </xf>
    <xf numFmtId="4" fontId="31" fillId="0" borderId="0" xfId="0" applyNumberFormat="1" applyFont="1" applyBorder="1" applyAlignment="1">
      <alignment vertical="center"/>
    </xf>
    <xf numFmtId="0" fontId="5" fillId="0" borderId="18" xfId="0" applyFont="1" applyFill="1" applyBorder="1"/>
    <xf numFmtId="0" fontId="30" fillId="0" borderId="0" xfId="0" applyFont="1"/>
    <xf numFmtId="0" fontId="1" fillId="0" borderId="2" xfId="0" applyFont="1" applyBorder="1" applyAlignment="1">
      <alignment vertical="center"/>
    </xf>
    <xf numFmtId="169" fontId="7" fillId="0" borderId="18" xfId="0" applyNumberFormat="1" applyFont="1" applyBorder="1"/>
    <xf numFmtId="9" fontId="18" fillId="0" borderId="18" xfId="2" applyFont="1" applyBorder="1"/>
    <xf numFmtId="10" fontId="18" fillId="0" borderId="18" xfId="2" applyNumberFormat="1" applyFont="1" applyBorder="1"/>
    <xf numFmtId="9" fontId="7" fillId="0" borderId="29" xfId="2" applyFont="1" applyBorder="1"/>
    <xf numFmtId="0" fontId="5" fillId="0" borderId="53" xfId="0" applyFont="1" applyBorder="1"/>
    <xf numFmtId="165" fontId="1" fillId="0" borderId="1" xfId="3" applyFont="1" applyBorder="1" applyAlignment="1">
      <alignment horizontal="center" vertical="center"/>
    </xf>
    <xf numFmtId="168" fontId="3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5" fontId="3" fillId="0" borderId="12" xfId="3" applyFont="1" applyBorder="1" applyAlignment="1">
      <alignment horizontal="left" vertical="center"/>
    </xf>
    <xf numFmtId="165" fontId="3" fillId="0" borderId="8" xfId="3" applyFont="1" applyBorder="1" applyAlignment="1">
      <alignment horizontal="left" vertical="center"/>
    </xf>
    <xf numFmtId="0" fontId="17" fillId="8" borderId="23" xfId="0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1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justify" wrapText="1"/>
    </xf>
    <xf numFmtId="0" fontId="17" fillId="8" borderId="19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9" fontId="7" fillId="0" borderId="19" xfId="2" applyFont="1" applyBorder="1" applyAlignment="1">
      <alignment horizontal="center"/>
    </xf>
    <xf numFmtId="9" fontId="7" fillId="0" borderId="20" xfId="2" applyFont="1" applyBorder="1" applyAlignment="1">
      <alignment horizontal="center"/>
    </xf>
    <xf numFmtId="9" fontId="7" fillId="0" borderId="10" xfId="2" applyFont="1" applyBorder="1" applyAlignment="1">
      <alignment horizont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20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07"/>
  <sheetViews>
    <sheetView tabSelected="1" view="pageBreakPreview" zoomScaleNormal="100" zoomScaleSheetLayoutView="100" workbookViewId="0">
      <selection activeCell="H273" sqref="H273"/>
    </sheetView>
  </sheetViews>
  <sheetFormatPr defaultRowHeight="12.75" x14ac:dyDescent="0.2"/>
  <cols>
    <col min="1" max="1" width="44.5703125" style="9" customWidth="1"/>
    <col min="2" max="2" width="16" style="9" bestFit="1" customWidth="1"/>
    <col min="3" max="3" width="12.140625" style="9" bestFit="1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s="8" customFormat="1" ht="18" x14ac:dyDescent="0.2">
      <c r="A1" s="313" t="s">
        <v>224</v>
      </c>
      <c r="B1" s="314"/>
      <c r="C1" s="314"/>
      <c r="D1" s="314"/>
      <c r="E1" s="314"/>
      <c r="F1" s="315"/>
      <c r="G1" s="36"/>
    </row>
    <row r="2" spans="1:7" s="8" customFormat="1" ht="21.75" customHeight="1" x14ac:dyDescent="0.2">
      <c r="A2" s="316" t="s">
        <v>40</v>
      </c>
      <c r="B2" s="317"/>
      <c r="C2" s="317"/>
      <c r="D2" s="317"/>
      <c r="E2" s="317"/>
      <c r="F2" s="318"/>
      <c r="G2" s="36"/>
    </row>
    <row r="3" spans="1:7" s="4" customFormat="1" ht="10.9" customHeight="1" thickBot="1" x14ac:dyDescent="0.25">
      <c r="A3" s="150"/>
      <c r="B3" s="151"/>
      <c r="C3" s="151"/>
      <c r="D3" s="152"/>
      <c r="E3" s="152"/>
      <c r="F3" s="153"/>
      <c r="G3" s="6"/>
    </row>
    <row r="4" spans="1:7" s="4" customFormat="1" ht="15.75" customHeight="1" thickBot="1" x14ac:dyDescent="0.25">
      <c r="A4" s="322" t="s">
        <v>205</v>
      </c>
      <c r="B4" s="323"/>
      <c r="C4" s="323"/>
      <c r="D4" s="323"/>
      <c r="E4" s="323"/>
      <c r="F4" s="324"/>
      <c r="G4" s="6"/>
    </row>
    <row r="5" spans="1:7" s="4" customFormat="1" ht="15.75" customHeight="1" x14ac:dyDescent="0.2">
      <c r="A5" s="63" t="s">
        <v>204</v>
      </c>
      <c r="B5" s="39"/>
      <c r="C5" s="39"/>
      <c r="D5" s="253"/>
      <c r="E5" s="115" t="s">
        <v>35</v>
      </c>
      <c r="F5" s="40" t="s">
        <v>1</v>
      </c>
      <c r="G5" s="6"/>
    </row>
    <row r="6" spans="1:7" s="11" customFormat="1" ht="15.75" customHeight="1" x14ac:dyDescent="0.2">
      <c r="A6" s="125" t="str">
        <f>A43</f>
        <v>1. Mão-de-obra</v>
      </c>
      <c r="B6" s="126"/>
      <c r="C6" s="127"/>
      <c r="D6" s="127"/>
      <c r="E6" s="251">
        <f>+F113</f>
        <v>23442.604709807358</v>
      </c>
      <c r="F6" s="128">
        <f t="shared" ref="F6:F25" si="0">IFERROR(E6/$E$26,0)</f>
        <v>0.38281667644402406</v>
      </c>
      <c r="G6" s="43"/>
    </row>
    <row r="7" spans="1:7" s="4" customFormat="1" ht="15.75" customHeight="1" x14ac:dyDescent="0.2">
      <c r="A7" s="48" t="str">
        <f>A45</f>
        <v>1.1. Coletor Turno Dia</v>
      </c>
      <c r="B7" s="44"/>
      <c r="C7" s="46"/>
      <c r="D7" s="46"/>
      <c r="E7" s="252">
        <f>F53</f>
        <v>12960.071705557759</v>
      </c>
      <c r="F7" s="57">
        <f t="shared" si="0"/>
        <v>0.21163738578598529</v>
      </c>
      <c r="G7" s="6"/>
    </row>
    <row r="8" spans="1:7" s="4" customFormat="1" ht="15.75" customHeight="1" x14ac:dyDescent="0.2">
      <c r="A8" s="48" t="str">
        <f>A55</f>
        <v>1.2. Coletor Turno Noite</v>
      </c>
      <c r="B8" s="44"/>
      <c r="C8" s="46"/>
      <c r="D8" s="46"/>
      <c r="E8" s="252">
        <f>F65</f>
        <v>0</v>
      </c>
      <c r="F8" s="57">
        <f t="shared" si="0"/>
        <v>0</v>
      </c>
      <c r="G8" s="6"/>
    </row>
    <row r="9" spans="1:7" s="4" customFormat="1" ht="15.75" customHeight="1" x14ac:dyDescent="0.2">
      <c r="A9" s="48" t="str">
        <f>A67</f>
        <v>1.3. Motorista Turno do Dia</v>
      </c>
      <c r="B9" s="44"/>
      <c r="C9" s="46"/>
      <c r="D9" s="46"/>
      <c r="E9" s="252">
        <f>F77</f>
        <v>8164.2618042495997</v>
      </c>
      <c r="F9" s="57">
        <f t="shared" si="0"/>
        <v>0.13332202663529905</v>
      </c>
      <c r="G9" s="6"/>
    </row>
    <row r="10" spans="1:7" s="4" customFormat="1" ht="15.75" customHeight="1" x14ac:dyDescent="0.2">
      <c r="A10" s="48" t="str">
        <f>A79</f>
        <v>1.4. Motorista Turno Noite</v>
      </c>
      <c r="B10" s="44"/>
      <c r="C10" s="46"/>
      <c r="D10" s="46"/>
      <c r="E10" s="252">
        <f>F91</f>
        <v>0</v>
      </c>
      <c r="F10" s="57">
        <f t="shared" si="0"/>
        <v>0</v>
      </c>
      <c r="G10" s="6"/>
    </row>
    <row r="11" spans="1:7" s="4" customFormat="1" ht="15.75" customHeight="1" x14ac:dyDescent="0.2">
      <c r="A11" s="48" t="str">
        <f>A93</f>
        <v>1.5. Vale Transporte</v>
      </c>
      <c r="B11" s="44"/>
      <c r="C11" s="46"/>
      <c r="D11" s="46"/>
      <c r="E11" s="252">
        <f>F99</f>
        <v>103.43280000000001</v>
      </c>
      <c r="F11" s="57">
        <f t="shared" si="0"/>
        <v>1.6890529538611514E-3</v>
      </c>
      <c r="G11" s="6"/>
    </row>
    <row r="12" spans="1:7" s="4" customFormat="1" ht="15.75" customHeight="1" x14ac:dyDescent="0.2">
      <c r="A12" s="48" t="str">
        <f>A101</f>
        <v>1.6. Vale-refeição (diário)</v>
      </c>
      <c r="B12" s="44"/>
      <c r="C12" s="46"/>
      <c r="D12" s="46"/>
      <c r="E12" s="252">
        <f>F105</f>
        <v>2045.8984</v>
      </c>
      <c r="F12" s="57">
        <f t="shared" si="0"/>
        <v>3.3409428496761213E-2</v>
      </c>
      <c r="G12" s="6"/>
    </row>
    <row r="13" spans="1:7" s="4" customFormat="1" ht="15.75" customHeight="1" x14ac:dyDescent="0.2">
      <c r="A13" s="48" t="str">
        <f>A107</f>
        <v>1.7. Auxílio Alimentação (mensal)</v>
      </c>
      <c r="B13" s="44"/>
      <c r="C13" s="46"/>
      <c r="D13" s="46"/>
      <c r="E13" s="252">
        <f>F111</f>
        <v>168.94</v>
      </c>
      <c r="F13" s="57">
        <f t="shared" si="0"/>
        <v>2.7587825721173834E-3</v>
      </c>
      <c r="G13" s="6"/>
    </row>
    <row r="14" spans="1:7" s="11" customFormat="1" ht="15.75" customHeight="1" x14ac:dyDescent="0.2">
      <c r="A14" s="311" t="str">
        <f>A115</f>
        <v>2. Uniformes e Equipamentos de Proteção Individual</v>
      </c>
      <c r="B14" s="312"/>
      <c r="C14" s="312"/>
      <c r="D14" s="127"/>
      <c r="E14" s="251">
        <f>+F147</f>
        <v>1389</v>
      </c>
      <c r="F14" s="128">
        <f t="shared" si="0"/>
        <v>2.2682307284663462E-2</v>
      </c>
      <c r="G14" s="43"/>
    </row>
    <row r="15" spans="1:7" s="11" customFormat="1" ht="15.75" customHeight="1" x14ac:dyDescent="0.2">
      <c r="A15" s="136" t="str">
        <f>A149</f>
        <v>3. Veículos e Equipamentos</v>
      </c>
      <c r="B15" s="137"/>
      <c r="C15" s="127"/>
      <c r="D15" s="127"/>
      <c r="E15" s="251">
        <f>+F226</f>
        <v>22996.552815555551</v>
      </c>
      <c r="F15" s="128">
        <f t="shared" si="0"/>
        <v>0.37553266915077305</v>
      </c>
      <c r="G15" s="43"/>
    </row>
    <row r="16" spans="1:7" s="4" customFormat="1" ht="15.75" customHeight="1" x14ac:dyDescent="0.2">
      <c r="A16" s="64" t="str">
        <f>A151</f>
        <v>3.1. Veículo Coletor Compactador 19 m³</v>
      </c>
      <c r="B16" s="45"/>
      <c r="C16" s="46"/>
      <c r="D16" s="46"/>
      <c r="E16" s="252">
        <f>SUM(E17:E22)</f>
        <v>22996.552815555551</v>
      </c>
      <c r="F16" s="143">
        <f t="shared" si="0"/>
        <v>0.37553266915077305</v>
      </c>
      <c r="G16" s="6"/>
    </row>
    <row r="17" spans="1:7" s="4" customFormat="1" ht="15.75" customHeight="1" x14ac:dyDescent="0.2">
      <c r="A17" s="64" t="str">
        <f>A153</f>
        <v>3.1.1. Depreciação</v>
      </c>
      <c r="B17" s="45"/>
      <c r="C17" s="46"/>
      <c r="D17" s="46"/>
      <c r="E17" s="252">
        <f>F167</f>
        <v>4440.4799999999987</v>
      </c>
      <c r="F17" s="143">
        <f t="shared" si="0"/>
        <v>7.2512837905977234E-2</v>
      </c>
      <c r="G17" s="6"/>
    </row>
    <row r="18" spans="1:7" s="4" customFormat="1" ht="15.75" customHeight="1" x14ac:dyDescent="0.2">
      <c r="A18" s="64" t="str">
        <f>A169</f>
        <v>3.1.2. Remuneração do Capital</v>
      </c>
      <c r="B18" s="45"/>
      <c r="C18" s="46"/>
      <c r="D18" s="46"/>
      <c r="E18" s="252">
        <f>F183</f>
        <v>666.37186000000008</v>
      </c>
      <c r="F18" s="143">
        <f t="shared" si="0"/>
        <v>1.0881822386157482E-2</v>
      </c>
      <c r="G18" s="6"/>
    </row>
    <row r="19" spans="1:7" s="4" customFormat="1" ht="15.75" customHeight="1" x14ac:dyDescent="0.2">
      <c r="A19" s="64" t="str">
        <f>A185</f>
        <v>3.1.3. Impostos e Seguros</v>
      </c>
      <c r="B19" s="45"/>
      <c r="C19" s="46"/>
      <c r="D19" s="46"/>
      <c r="E19" s="252">
        <f>F191</f>
        <v>469.58333333333331</v>
      </c>
      <c r="F19" s="143">
        <f t="shared" si="0"/>
        <v>7.6682746309742382E-3</v>
      </c>
      <c r="G19" s="6"/>
    </row>
    <row r="20" spans="1:7" s="4" customFormat="1" ht="15.75" customHeight="1" x14ac:dyDescent="0.2">
      <c r="A20" s="64" t="str">
        <f>A193</f>
        <v>3.1.4. Consumos</v>
      </c>
      <c r="B20" s="45"/>
      <c r="C20" s="46"/>
      <c r="D20" s="46"/>
      <c r="E20" s="252">
        <f>F209</f>
        <v>11716.784288888888</v>
      </c>
      <c r="F20" s="143">
        <f t="shared" si="0"/>
        <v>0.19133455840798763</v>
      </c>
      <c r="G20" s="6"/>
    </row>
    <row r="21" spans="1:7" s="4" customFormat="1" ht="15.75" customHeight="1" x14ac:dyDescent="0.2">
      <c r="A21" s="64" t="str">
        <f>A211</f>
        <v>3.1.5. Manutenção</v>
      </c>
      <c r="B21" s="45"/>
      <c r="C21" s="46"/>
      <c r="D21" s="46"/>
      <c r="E21" s="252">
        <f>F214</f>
        <v>4350</v>
      </c>
      <c r="F21" s="143">
        <f t="shared" si="0"/>
        <v>7.1035303591278659E-2</v>
      </c>
      <c r="G21" s="6"/>
    </row>
    <row r="22" spans="1:7" s="4" customFormat="1" ht="15.75" customHeight="1" x14ac:dyDescent="0.2">
      <c r="A22" s="64" t="str">
        <f>A216</f>
        <v>3.1.6. Pneus</v>
      </c>
      <c r="B22" s="45"/>
      <c r="C22" s="46"/>
      <c r="D22" s="46"/>
      <c r="E22" s="252">
        <f>F223</f>
        <v>1353.3333333333333</v>
      </c>
      <c r="F22" s="143">
        <f t="shared" si="0"/>
        <v>2.2099872228397804E-2</v>
      </c>
      <c r="G22" s="6"/>
    </row>
    <row r="23" spans="1:7" s="11" customFormat="1" ht="15.75" customHeight="1" x14ac:dyDescent="0.2">
      <c r="A23" s="136" t="str">
        <f>A228</f>
        <v>4. Ferramentas e Materiais de Consumo</v>
      </c>
      <c r="B23" s="137"/>
      <c r="C23" s="127"/>
      <c r="D23" s="127"/>
      <c r="E23" s="251">
        <f>+F238</f>
        <v>33.333333333333329</v>
      </c>
      <c r="F23" s="128">
        <f t="shared" si="0"/>
        <v>5.4433182828566022E-4</v>
      </c>
      <c r="G23" s="43"/>
    </row>
    <row r="24" spans="1:7" s="11" customFormat="1" ht="15.75" customHeight="1" x14ac:dyDescent="0.2">
      <c r="A24" s="136" t="str">
        <f>A240</f>
        <v>5. Monitoramento da Frota</v>
      </c>
      <c r="B24" s="137"/>
      <c r="C24" s="127"/>
      <c r="D24" s="127"/>
      <c r="E24" s="251">
        <f>+F249</f>
        <v>81.166666666666671</v>
      </c>
      <c r="F24" s="128">
        <f t="shared" si="0"/>
        <v>1.3254480018755827E-3</v>
      </c>
      <c r="G24" s="43"/>
    </row>
    <row r="25" spans="1:7" s="11" customFormat="1" ht="15.75" customHeight="1" thickBot="1" x14ac:dyDescent="0.25">
      <c r="A25" s="136" t="str">
        <f>A253</f>
        <v>6. Benefícios e Despesas Indiretas - BDI</v>
      </c>
      <c r="B25" s="137"/>
      <c r="C25" s="127"/>
      <c r="D25" s="127"/>
      <c r="E25" s="306">
        <f>+F259</f>
        <v>13294.498931783135</v>
      </c>
      <c r="F25" s="128">
        <f t="shared" si="0"/>
        <v>0.21709856729037813</v>
      </c>
      <c r="G25" s="43"/>
    </row>
    <row r="26" spans="1:7" s="4" customFormat="1" ht="15.75" customHeight="1" thickBot="1" x14ac:dyDescent="0.25">
      <c r="A26" s="41" t="s">
        <v>244</v>
      </c>
      <c r="B26" s="42"/>
      <c r="C26" s="26"/>
      <c r="D26" s="26"/>
      <c r="E26" s="114">
        <f>E6+E14+E15+E23+E24+E25</f>
        <v>61237.156457146048</v>
      </c>
      <c r="F26" s="142">
        <f>F6+F14+F15+F23+F24+F25</f>
        <v>0.99999999999999989</v>
      </c>
      <c r="G26" s="6"/>
    </row>
    <row r="28" spans="1:7" ht="13.5" thickBot="1" x14ac:dyDescent="0.25"/>
    <row r="29" spans="1:7" s="4" customFormat="1" ht="15" customHeight="1" thickBot="1" x14ac:dyDescent="0.25">
      <c r="A29" s="322" t="s">
        <v>96</v>
      </c>
      <c r="B29" s="323"/>
      <c r="C29" s="323"/>
      <c r="D29" s="323"/>
      <c r="E29" s="324"/>
      <c r="F29" s="10"/>
      <c r="G29" s="6"/>
    </row>
    <row r="30" spans="1:7" s="4" customFormat="1" ht="15" customHeight="1" thickBot="1" x14ac:dyDescent="0.25">
      <c r="A30" s="319" t="s">
        <v>36</v>
      </c>
      <c r="B30" s="320"/>
      <c r="C30" s="320"/>
      <c r="D30" s="321"/>
      <c r="E30" s="47" t="s">
        <v>37</v>
      </c>
      <c r="F30" s="10"/>
      <c r="G30" s="6"/>
    </row>
    <row r="31" spans="1:7" s="4" customFormat="1" ht="15" customHeight="1" x14ac:dyDescent="0.2">
      <c r="A31" s="72" t="str">
        <f>+A45</f>
        <v>1.1. Coletor Turno Dia</v>
      </c>
      <c r="B31" s="73"/>
      <c r="C31" s="73"/>
      <c r="D31" s="74"/>
      <c r="E31" s="75">
        <f>C52</f>
        <v>4</v>
      </c>
      <c r="F31" s="10"/>
      <c r="G31" s="6"/>
    </row>
    <row r="32" spans="1:7" s="4" customFormat="1" ht="15" customHeight="1" x14ac:dyDescent="0.2">
      <c r="A32" s="66" t="str">
        <f>+A55</f>
        <v>1.2. Coletor Turno Noite</v>
      </c>
      <c r="B32" s="65"/>
      <c r="C32" s="65"/>
      <c r="D32" s="76"/>
      <c r="E32" s="69">
        <f>C64</f>
        <v>0</v>
      </c>
      <c r="F32" s="10"/>
      <c r="G32" s="6"/>
    </row>
    <row r="33" spans="1:7" s="4" customFormat="1" ht="15" customHeight="1" x14ac:dyDescent="0.2">
      <c r="A33" s="66" t="str">
        <f>+A67</f>
        <v>1.3. Motorista Turno do Dia</v>
      </c>
      <c r="B33" s="65"/>
      <c r="C33" s="65"/>
      <c r="D33" s="76"/>
      <c r="E33" s="69">
        <f>C76</f>
        <v>2</v>
      </c>
      <c r="F33" s="10"/>
      <c r="G33" s="6"/>
    </row>
    <row r="34" spans="1:7" s="4" customFormat="1" ht="15" customHeight="1" x14ac:dyDescent="0.2">
      <c r="A34" s="66" t="str">
        <f>+A79</f>
        <v>1.4. Motorista Turno Noite</v>
      </c>
      <c r="B34" s="65"/>
      <c r="C34" s="65"/>
      <c r="D34" s="76"/>
      <c r="E34" s="69">
        <f>C90</f>
        <v>0</v>
      </c>
      <c r="F34" s="10"/>
      <c r="G34" s="6"/>
    </row>
    <row r="35" spans="1:7" s="4" customFormat="1" ht="15" customHeight="1" thickBot="1" x14ac:dyDescent="0.25">
      <c r="A35" s="70" t="s">
        <v>56</v>
      </c>
      <c r="B35" s="71"/>
      <c r="C35" s="71"/>
      <c r="D35" s="77"/>
      <c r="E35" s="78">
        <f>SUM(E31:E34)</f>
        <v>6</v>
      </c>
      <c r="F35" s="10"/>
      <c r="G35" s="6"/>
    </row>
    <row r="36" spans="1:7" s="4" customFormat="1" ht="15" customHeight="1" thickBot="1" x14ac:dyDescent="0.25">
      <c r="A36" s="129"/>
      <c r="B36" s="130"/>
      <c r="C36" s="58"/>
      <c r="D36" s="58"/>
      <c r="E36" s="131"/>
      <c r="F36" s="10"/>
      <c r="G36" s="6"/>
    </row>
    <row r="37" spans="1:7" s="4" customFormat="1" ht="15" customHeight="1" x14ac:dyDescent="0.2">
      <c r="A37" s="309" t="s">
        <v>53</v>
      </c>
      <c r="B37" s="310"/>
      <c r="C37" s="310"/>
      <c r="D37" s="310"/>
      <c r="E37" s="47" t="s">
        <v>37</v>
      </c>
      <c r="F37" s="9"/>
      <c r="G37" s="6"/>
    </row>
    <row r="38" spans="1:7" s="4" customFormat="1" ht="15" customHeight="1" thickBot="1" x14ac:dyDescent="0.25">
      <c r="A38" s="132" t="str">
        <f>+A151</f>
        <v>3.1. Veículo Coletor Compactador 19 m³</v>
      </c>
      <c r="B38" s="133"/>
      <c r="C38" s="133"/>
      <c r="D38" s="134"/>
      <c r="E38" s="135">
        <f>C166</f>
        <v>1</v>
      </c>
      <c r="F38" s="9"/>
      <c r="G38" s="6"/>
    </row>
    <row r="39" spans="1:7" s="4" customFormat="1" ht="15" customHeight="1" x14ac:dyDescent="0.2">
      <c r="A39" s="58"/>
      <c r="B39" s="58"/>
      <c r="C39" s="58"/>
      <c r="D39" s="53"/>
      <c r="E39" s="250"/>
      <c r="F39" s="9"/>
      <c r="G39" s="6"/>
    </row>
    <row r="40" spans="1:7" s="4" customFormat="1" ht="13.5" thickBot="1" x14ac:dyDescent="0.25">
      <c r="A40" s="58"/>
      <c r="B40" s="58"/>
      <c r="C40" s="58"/>
      <c r="D40" s="53"/>
      <c r="E40" s="67"/>
      <c r="F40" s="9"/>
      <c r="G40" s="6"/>
    </row>
    <row r="41" spans="1:7" s="11" customFormat="1" ht="15.75" customHeight="1" thickBot="1" x14ac:dyDescent="0.25">
      <c r="A41" s="254" t="s">
        <v>199</v>
      </c>
      <c r="B41" s="255">
        <v>1</v>
      </c>
      <c r="C41" s="35"/>
      <c r="D41" s="34"/>
      <c r="E41" s="155"/>
      <c r="G41" s="43"/>
    </row>
    <row r="42" spans="1:7" s="4" customFormat="1" ht="15.75" customHeight="1" x14ac:dyDescent="0.2">
      <c r="A42" s="58"/>
      <c r="B42" s="58"/>
      <c r="C42" s="58"/>
      <c r="D42" s="53"/>
      <c r="E42" s="67"/>
      <c r="F42" s="9"/>
      <c r="G42" s="6"/>
    </row>
    <row r="43" spans="1:7" ht="13.15" customHeight="1" x14ac:dyDescent="0.2">
      <c r="A43" s="11" t="s">
        <v>44</v>
      </c>
    </row>
    <row r="44" spans="1:7" ht="11.25" customHeight="1" x14ac:dyDescent="0.2"/>
    <row r="45" spans="1:7" ht="13.9" customHeight="1" thickBot="1" x14ac:dyDescent="0.25">
      <c r="A45" s="9" t="s">
        <v>98</v>
      </c>
    </row>
    <row r="46" spans="1:7" ht="13.9" customHeight="1" thickBot="1" x14ac:dyDescent="0.25">
      <c r="A46" s="59" t="s">
        <v>61</v>
      </c>
      <c r="B46" s="60" t="s">
        <v>62</v>
      </c>
      <c r="C46" s="60" t="s">
        <v>37</v>
      </c>
      <c r="D46" s="61" t="s">
        <v>240</v>
      </c>
      <c r="E46" s="61" t="s">
        <v>63</v>
      </c>
      <c r="F46" s="62" t="s">
        <v>64</v>
      </c>
    </row>
    <row r="47" spans="1:7" ht="13.15" customHeight="1" x14ac:dyDescent="0.2">
      <c r="A47" s="13" t="s">
        <v>220</v>
      </c>
      <c r="B47" s="14" t="s">
        <v>7</v>
      </c>
      <c r="C47" s="14">
        <v>1</v>
      </c>
      <c r="D47" s="86">
        <v>1330.73</v>
      </c>
      <c r="E47" s="15">
        <f>C47*D47</f>
        <v>1330.73</v>
      </c>
    </row>
    <row r="48" spans="1:7" x14ac:dyDescent="0.2">
      <c r="A48" s="16" t="s">
        <v>0</v>
      </c>
      <c r="B48" s="17" t="s">
        <v>1</v>
      </c>
      <c r="C48" s="17">
        <v>40</v>
      </c>
      <c r="D48" s="82">
        <f>SUM(E47:E47)</f>
        <v>1330.73</v>
      </c>
      <c r="E48" s="18">
        <f>C48*D48/100</f>
        <v>532.29199999999992</v>
      </c>
    </row>
    <row r="49" spans="1:7" x14ac:dyDescent="0.2">
      <c r="A49" s="116" t="s">
        <v>2</v>
      </c>
      <c r="B49" s="117"/>
      <c r="C49" s="117"/>
      <c r="D49" s="118"/>
      <c r="E49" s="119">
        <f>SUM(E47:E48)</f>
        <v>1863.0219999999999</v>
      </c>
    </row>
    <row r="50" spans="1:7" x14ac:dyDescent="0.2">
      <c r="A50" s="16" t="s">
        <v>3</v>
      </c>
      <c r="B50" s="17" t="s">
        <v>1</v>
      </c>
      <c r="C50" s="140">
        <f>'2.Encargos Sociais'!$C$37*100</f>
        <v>73.911951999999999</v>
      </c>
      <c r="D50" s="18">
        <f>E49</f>
        <v>1863.0219999999999</v>
      </c>
      <c r="E50" s="18">
        <f>D50*C50/100</f>
        <v>1376.9959263894398</v>
      </c>
    </row>
    <row r="51" spans="1:7" x14ac:dyDescent="0.2">
      <c r="A51" s="116" t="s">
        <v>70</v>
      </c>
      <c r="B51" s="117"/>
      <c r="C51" s="117"/>
      <c r="D51" s="118"/>
      <c r="E51" s="119">
        <f>E49+E50</f>
        <v>3240.0179263894397</v>
      </c>
    </row>
    <row r="52" spans="1:7" ht="13.5" thickBot="1" x14ac:dyDescent="0.25">
      <c r="A52" s="16" t="s">
        <v>4</v>
      </c>
      <c r="B52" s="17" t="s">
        <v>5</v>
      </c>
      <c r="C52" s="85">
        <v>4</v>
      </c>
      <c r="D52" s="18">
        <f>E51</f>
        <v>3240.0179263894397</v>
      </c>
      <c r="E52" s="18">
        <f>C52*D52</f>
        <v>12960.071705557759</v>
      </c>
      <c r="G52" s="6"/>
    </row>
    <row r="53" spans="1:7" ht="13.9" customHeight="1" thickBot="1" x14ac:dyDescent="0.25">
      <c r="D53" s="123" t="s">
        <v>198</v>
      </c>
      <c r="E53" s="49">
        <f>$B$41</f>
        <v>1</v>
      </c>
      <c r="F53" s="124">
        <f>E52*E53</f>
        <v>12960.071705557759</v>
      </c>
      <c r="G53" s="6"/>
    </row>
    <row r="54" spans="1:7" ht="11.25" customHeight="1" x14ac:dyDescent="0.2"/>
    <row r="55" spans="1:7" ht="13.5" thickBot="1" x14ac:dyDescent="0.25">
      <c r="A55" s="9" t="s">
        <v>89</v>
      </c>
    </row>
    <row r="56" spans="1:7" ht="13.5" thickBot="1" x14ac:dyDescent="0.25">
      <c r="A56" s="59" t="s">
        <v>61</v>
      </c>
      <c r="B56" s="60" t="s">
        <v>62</v>
      </c>
      <c r="C56" s="60" t="s">
        <v>37</v>
      </c>
      <c r="D56" s="61" t="s">
        <v>240</v>
      </c>
      <c r="E56" s="61" t="s">
        <v>63</v>
      </c>
      <c r="F56" s="62" t="s">
        <v>64</v>
      </c>
    </row>
    <row r="57" spans="1:7" x14ac:dyDescent="0.2">
      <c r="A57" s="13" t="s">
        <v>220</v>
      </c>
      <c r="B57" s="14" t="s">
        <v>7</v>
      </c>
      <c r="C57" s="14">
        <v>1</v>
      </c>
      <c r="D57" s="15">
        <f>D47</f>
        <v>1330.73</v>
      </c>
      <c r="E57" s="15">
        <f>C57*D57</f>
        <v>1330.73</v>
      </c>
    </row>
    <row r="58" spans="1:7" x14ac:dyDescent="0.2">
      <c r="A58" s="16" t="s">
        <v>6</v>
      </c>
      <c r="B58" s="17" t="s">
        <v>97</v>
      </c>
      <c r="C58" s="87"/>
      <c r="D58" s="18"/>
      <c r="E58" s="18"/>
    </row>
    <row r="59" spans="1:7" x14ac:dyDescent="0.2">
      <c r="A59" s="16"/>
      <c r="B59" s="17" t="s">
        <v>101</v>
      </c>
      <c r="C59" s="120">
        <f>C58*8/7</f>
        <v>0</v>
      </c>
      <c r="D59" s="18">
        <f>D57/220*0.2</f>
        <v>1.2097545454545455</v>
      </c>
      <c r="E59" s="18">
        <f>C58*D59</f>
        <v>0</v>
      </c>
    </row>
    <row r="60" spans="1:7" x14ac:dyDescent="0.2">
      <c r="A60" s="16" t="s">
        <v>0</v>
      </c>
      <c r="B60" s="17" t="s">
        <v>1</v>
      </c>
      <c r="C60" s="17">
        <f>+C48</f>
        <v>40</v>
      </c>
      <c r="D60" s="82">
        <f>SUM(E57:E59)</f>
        <v>1330.73</v>
      </c>
      <c r="E60" s="18">
        <f>C60*D60/100</f>
        <v>532.29199999999992</v>
      </c>
    </row>
    <row r="61" spans="1:7" x14ac:dyDescent="0.2">
      <c r="A61" s="116" t="s">
        <v>2</v>
      </c>
      <c r="B61" s="117"/>
      <c r="C61" s="117"/>
      <c r="D61" s="118"/>
      <c r="E61" s="119">
        <f>SUM(E57:E60)</f>
        <v>1863.0219999999999</v>
      </c>
    </row>
    <row r="62" spans="1:7" x14ac:dyDescent="0.2">
      <c r="A62" s="16" t="s">
        <v>3</v>
      </c>
      <c r="B62" s="17" t="s">
        <v>1</v>
      </c>
      <c r="C62" s="140">
        <f>'2.Encargos Sociais'!$C$37*100</f>
        <v>73.911951999999999</v>
      </c>
      <c r="D62" s="18">
        <f>E61</f>
        <v>1863.0219999999999</v>
      </c>
      <c r="E62" s="18">
        <f>D62*C62/100</f>
        <v>1376.9959263894398</v>
      </c>
    </row>
    <row r="63" spans="1:7" x14ac:dyDescent="0.2">
      <c r="A63" s="116" t="s">
        <v>70</v>
      </c>
      <c r="B63" s="117"/>
      <c r="C63" s="117"/>
      <c r="D63" s="118"/>
      <c r="E63" s="119">
        <f>E61+E62</f>
        <v>3240.0179263894397</v>
      </c>
    </row>
    <row r="64" spans="1:7" ht="13.5" thickBot="1" x14ac:dyDescent="0.25">
      <c r="A64" s="16" t="s">
        <v>4</v>
      </c>
      <c r="B64" s="17" t="s">
        <v>5</v>
      </c>
      <c r="C64" s="85"/>
      <c r="D64" s="18">
        <f>E63</f>
        <v>3240.0179263894397</v>
      </c>
      <c r="E64" s="18">
        <f>C64*D64</f>
        <v>0</v>
      </c>
    </row>
    <row r="65" spans="1:7" ht="13.5" thickBot="1" x14ac:dyDescent="0.25">
      <c r="D65" s="123" t="s">
        <v>198</v>
      </c>
      <c r="E65" s="49">
        <f>$B$41</f>
        <v>1</v>
      </c>
      <c r="F65" s="124">
        <f>E64*E65</f>
        <v>0</v>
      </c>
    </row>
    <row r="66" spans="1:7" ht="11.25" customHeight="1" x14ac:dyDescent="0.2"/>
    <row r="67" spans="1:7" ht="13.5" thickBot="1" x14ac:dyDescent="0.25">
      <c r="A67" s="9" t="s">
        <v>99</v>
      </c>
    </row>
    <row r="68" spans="1:7" s="12" customFormat="1" ht="13.15" customHeight="1" thickBot="1" x14ac:dyDescent="0.25">
      <c r="A68" s="59" t="s">
        <v>61</v>
      </c>
      <c r="B68" s="60" t="s">
        <v>62</v>
      </c>
      <c r="C68" s="60" t="s">
        <v>37</v>
      </c>
      <c r="D68" s="61" t="s">
        <v>240</v>
      </c>
      <c r="E68" s="61" t="s">
        <v>63</v>
      </c>
      <c r="F68" s="62" t="s">
        <v>64</v>
      </c>
      <c r="G68" s="10"/>
    </row>
    <row r="69" spans="1:7" x14ac:dyDescent="0.2">
      <c r="A69" s="299" t="s">
        <v>292</v>
      </c>
      <c r="B69" s="14" t="s">
        <v>7</v>
      </c>
      <c r="C69" s="14">
        <v>1</v>
      </c>
      <c r="D69" s="86">
        <v>1676.6</v>
      </c>
      <c r="E69" s="15">
        <f>C69*D69</f>
        <v>1676.6</v>
      </c>
    </row>
    <row r="70" spans="1:7" x14ac:dyDescent="0.2">
      <c r="A70" s="299" t="s">
        <v>293</v>
      </c>
      <c r="B70" s="14" t="s">
        <v>7</v>
      </c>
      <c r="C70" s="14">
        <v>1</v>
      </c>
      <c r="D70" s="86">
        <v>1045</v>
      </c>
      <c r="E70" s="15"/>
    </row>
    <row r="71" spans="1:7" x14ac:dyDescent="0.2">
      <c r="A71" s="16" t="s">
        <v>221</v>
      </c>
      <c r="B71" s="17"/>
      <c r="C71" s="89">
        <v>2</v>
      </c>
      <c r="D71" s="18"/>
      <c r="E71" s="18"/>
    </row>
    <row r="72" spans="1:7" x14ac:dyDescent="0.2">
      <c r="A72" s="16" t="s">
        <v>0</v>
      </c>
      <c r="B72" s="17" t="s">
        <v>1</v>
      </c>
      <c r="C72" s="85">
        <v>40</v>
      </c>
      <c r="D72" s="82">
        <f>IF(C71=2,SUM(E69:E70),IF(C71=1,(SUM(E69:E70))*D70/D69,0))</f>
        <v>1676.6</v>
      </c>
      <c r="E72" s="18">
        <f>C72*D72/100</f>
        <v>670.64</v>
      </c>
    </row>
    <row r="73" spans="1:7" s="11" customFormat="1" x14ac:dyDescent="0.2">
      <c r="A73" s="102" t="s">
        <v>2</v>
      </c>
      <c r="B73" s="117"/>
      <c r="C73" s="117"/>
      <c r="D73" s="118"/>
      <c r="E73" s="104">
        <f>SUM(E69:E72)</f>
        <v>2347.2399999999998</v>
      </c>
      <c r="F73" s="43"/>
      <c r="G73" s="43"/>
    </row>
    <row r="74" spans="1:7" x14ac:dyDescent="0.2">
      <c r="A74" s="16" t="s">
        <v>3</v>
      </c>
      <c r="B74" s="17" t="s">
        <v>1</v>
      </c>
      <c r="C74" s="140">
        <f>'2.Encargos Sociais'!$C$37*100</f>
        <v>73.911951999999999</v>
      </c>
      <c r="D74" s="18">
        <f>E73</f>
        <v>2347.2399999999998</v>
      </c>
      <c r="E74" s="18">
        <f>D74*C74/100</f>
        <v>1734.8909021247998</v>
      </c>
    </row>
    <row r="75" spans="1:7" s="11" customFormat="1" x14ac:dyDescent="0.2">
      <c r="A75" s="102" t="s">
        <v>256</v>
      </c>
      <c r="B75" s="261"/>
      <c r="C75" s="261"/>
      <c r="D75" s="262"/>
      <c r="E75" s="104">
        <f>E73+E74</f>
        <v>4082.1309021247998</v>
      </c>
      <c r="F75" s="43"/>
      <c r="G75" s="43"/>
    </row>
    <row r="76" spans="1:7" ht="13.5" thickBot="1" x14ac:dyDescent="0.25">
      <c r="A76" s="16" t="s">
        <v>4</v>
      </c>
      <c r="B76" s="17" t="s">
        <v>5</v>
      </c>
      <c r="C76" s="85">
        <v>2</v>
      </c>
      <c r="D76" s="18">
        <f>E75</f>
        <v>4082.1309021247998</v>
      </c>
      <c r="E76" s="18">
        <f>C76*D76</f>
        <v>8164.2618042495997</v>
      </c>
    </row>
    <row r="77" spans="1:7" ht="13.5" thickBot="1" x14ac:dyDescent="0.25">
      <c r="D77" s="123" t="s">
        <v>198</v>
      </c>
      <c r="E77" s="49">
        <f>$B$41</f>
        <v>1</v>
      </c>
      <c r="F77" s="124">
        <f>E76*E77</f>
        <v>8164.2618042495997</v>
      </c>
    </row>
    <row r="78" spans="1:7" ht="11.25" customHeight="1" x14ac:dyDescent="0.2"/>
    <row r="79" spans="1:7" ht="13.5" thickBot="1" x14ac:dyDescent="0.25">
      <c r="A79" s="9" t="s">
        <v>100</v>
      </c>
    </row>
    <row r="80" spans="1:7" ht="13.5" thickBot="1" x14ac:dyDescent="0.25">
      <c r="A80" s="59" t="s">
        <v>61</v>
      </c>
      <c r="B80" s="60" t="s">
        <v>62</v>
      </c>
      <c r="C80" s="60" t="s">
        <v>37</v>
      </c>
      <c r="D80" s="61" t="s">
        <v>240</v>
      </c>
      <c r="E80" s="61" t="s">
        <v>63</v>
      </c>
      <c r="F80" s="62" t="s">
        <v>64</v>
      </c>
    </row>
    <row r="81" spans="1:7" x14ac:dyDescent="0.2">
      <c r="A81" s="299" t="s">
        <v>292</v>
      </c>
      <c r="B81" s="14" t="s">
        <v>7</v>
      </c>
      <c r="C81" s="14">
        <v>1</v>
      </c>
      <c r="D81" s="15">
        <f>D69</f>
        <v>1676.6</v>
      </c>
      <c r="E81" s="15">
        <f>C81*D81</f>
        <v>1676.6</v>
      </c>
    </row>
    <row r="82" spans="1:7" x14ac:dyDescent="0.2">
      <c r="A82" s="299" t="s">
        <v>293</v>
      </c>
      <c r="B82" s="14" t="s">
        <v>7</v>
      </c>
      <c r="C82" s="14">
        <v>1</v>
      </c>
      <c r="D82" s="18">
        <f>D70</f>
        <v>1045</v>
      </c>
      <c r="E82" s="18"/>
    </row>
    <row r="83" spans="1:7" x14ac:dyDescent="0.2">
      <c r="A83" s="16" t="s">
        <v>6</v>
      </c>
      <c r="B83" s="17" t="s">
        <v>97</v>
      </c>
      <c r="C83" s="87"/>
      <c r="D83" s="16"/>
      <c r="E83" s="16"/>
    </row>
    <row r="84" spans="1:7" x14ac:dyDescent="0.2">
      <c r="A84" s="16"/>
      <c r="B84" s="17" t="s">
        <v>101</v>
      </c>
      <c r="C84" s="18">
        <f>C83*8/7</f>
        <v>0</v>
      </c>
      <c r="D84" s="18">
        <f>D81/220*0.2</f>
        <v>1.5241818181818181</v>
      </c>
      <c r="E84" s="18">
        <f>C83*D84</f>
        <v>0</v>
      </c>
    </row>
    <row r="85" spans="1:7" x14ac:dyDescent="0.2">
      <c r="A85" s="16" t="s">
        <v>221</v>
      </c>
      <c r="B85" s="17"/>
      <c r="C85" s="89"/>
      <c r="D85" s="18"/>
      <c r="E85" s="18"/>
    </row>
    <row r="86" spans="1:7" x14ac:dyDescent="0.2">
      <c r="A86" s="16" t="s">
        <v>0</v>
      </c>
      <c r="B86" s="17" t="s">
        <v>1</v>
      </c>
      <c r="C86" s="82">
        <f>+C72</f>
        <v>40</v>
      </c>
      <c r="D86" s="82">
        <f>IF(C85=2,SUM(E81:E84),IF(C85=1,SUM(E81:E84)*D82/D81,0))</f>
        <v>0</v>
      </c>
      <c r="E86" s="18">
        <f>C86*D86/100</f>
        <v>0</v>
      </c>
    </row>
    <row r="87" spans="1:7" s="11" customFormat="1" x14ac:dyDescent="0.2">
      <c r="A87" s="116" t="s">
        <v>2</v>
      </c>
      <c r="B87" s="117"/>
      <c r="C87" s="117"/>
      <c r="D87" s="118"/>
      <c r="E87" s="119">
        <f>SUM(E81:E86)</f>
        <v>1676.6</v>
      </c>
      <c r="F87" s="43"/>
      <c r="G87" s="43"/>
    </row>
    <row r="88" spans="1:7" x14ac:dyDescent="0.2">
      <c r="A88" s="16" t="s">
        <v>3</v>
      </c>
      <c r="B88" s="17" t="s">
        <v>1</v>
      </c>
      <c r="C88" s="140">
        <f>'2.Encargos Sociais'!$C$37*100</f>
        <v>73.911951999999999</v>
      </c>
      <c r="D88" s="18">
        <f>E87</f>
        <v>1676.6</v>
      </c>
      <c r="E88" s="18">
        <f>D88*C88/100</f>
        <v>1239.2077872319999</v>
      </c>
    </row>
    <row r="89" spans="1:7" s="11" customFormat="1" x14ac:dyDescent="0.2">
      <c r="A89" s="116" t="s">
        <v>256</v>
      </c>
      <c r="B89" s="117"/>
      <c r="C89" s="117"/>
      <c r="D89" s="118"/>
      <c r="E89" s="119">
        <f>E87+E88</f>
        <v>2915.807787232</v>
      </c>
      <c r="F89" s="43"/>
      <c r="G89" s="43"/>
    </row>
    <row r="90" spans="1:7" ht="13.5" thickBot="1" x14ac:dyDescent="0.25">
      <c r="A90" s="16" t="s">
        <v>4</v>
      </c>
      <c r="B90" s="17" t="s">
        <v>5</v>
      </c>
      <c r="C90" s="85"/>
      <c r="D90" s="18">
        <f>E89</f>
        <v>2915.807787232</v>
      </c>
      <c r="E90" s="18">
        <f>C90*D90</f>
        <v>0</v>
      </c>
    </row>
    <row r="91" spans="1:7" ht="13.5" thickBot="1" x14ac:dyDescent="0.25">
      <c r="D91" s="123" t="s">
        <v>198</v>
      </c>
      <c r="E91" s="49">
        <f>$B$41</f>
        <v>1</v>
      </c>
      <c r="F91" s="124">
        <f>E90*E91</f>
        <v>0</v>
      </c>
    </row>
    <row r="92" spans="1:7" ht="11.25" customHeight="1" x14ac:dyDescent="0.2">
      <c r="G92" s="9"/>
    </row>
    <row r="93" spans="1:7" ht="13.5" thickBot="1" x14ac:dyDescent="0.25">
      <c r="A93" s="9" t="s">
        <v>102</v>
      </c>
      <c r="B93" s="92"/>
      <c r="D93" s="9"/>
      <c r="E93" s="9"/>
      <c r="G93" s="9"/>
    </row>
    <row r="94" spans="1:7" ht="13.5" thickBot="1" x14ac:dyDescent="0.25">
      <c r="A94" s="59" t="s">
        <v>61</v>
      </c>
      <c r="B94" s="60" t="s">
        <v>62</v>
      </c>
      <c r="C94" s="60" t="s">
        <v>37</v>
      </c>
      <c r="D94" s="61" t="s">
        <v>240</v>
      </c>
      <c r="E94" s="61" t="s">
        <v>63</v>
      </c>
      <c r="F94" s="62" t="s">
        <v>64</v>
      </c>
      <c r="G94" s="9"/>
    </row>
    <row r="95" spans="1:7" x14ac:dyDescent="0.2">
      <c r="A95" s="16" t="s">
        <v>90</v>
      </c>
      <c r="B95" s="17" t="s">
        <v>32</v>
      </c>
      <c r="C95" s="93">
        <v>1</v>
      </c>
      <c r="D95" s="91">
        <v>2</v>
      </c>
      <c r="E95" s="18"/>
      <c r="G95" s="9"/>
    </row>
    <row r="96" spans="1:7" x14ac:dyDescent="0.2">
      <c r="A96" s="16" t="s">
        <v>91</v>
      </c>
      <c r="B96" s="17" t="s">
        <v>92</v>
      </c>
      <c r="C96" s="90">
        <v>26</v>
      </c>
      <c r="D96" s="18"/>
      <c r="E96" s="18"/>
      <c r="G96" s="9"/>
    </row>
    <row r="97" spans="1:7" x14ac:dyDescent="0.2">
      <c r="A97" s="16" t="s">
        <v>71</v>
      </c>
      <c r="B97" s="17" t="s">
        <v>8</v>
      </c>
      <c r="C97" s="37">
        <f>$C$96*2*(C52+C64)</f>
        <v>208</v>
      </c>
      <c r="D97" s="15">
        <f>IFERROR((($C$96*2*$D$95)-(E47*0.06*C96/26))/($C$96*2),"-")</f>
        <v>0.46454230769230764</v>
      </c>
      <c r="E97" s="18">
        <f>IFERROR(C97*D97,"-")</f>
        <v>96.624799999999993</v>
      </c>
      <c r="G97" s="9"/>
    </row>
    <row r="98" spans="1:7" ht="13.5" thickBot="1" x14ac:dyDescent="0.25">
      <c r="A98" s="13" t="s">
        <v>41</v>
      </c>
      <c r="B98" s="14" t="s">
        <v>8</v>
      </c>
      <c r="C98" s="37">
        <f>$C$96*2*(C76+C90)</f>
        <v>104</v>
      </c>
      <c r="D98" s="15">
        <f>IFERROR((($C$96*2*$D$95)-(E69*0.06*C96/26))/($C$96*2),"-")</f>
        <v>6.5461538461538668E-2</v>
      </c>
      <c r="E98" s="15">
        <f>IFERROR(C98*D98,"-")</f>
        <v>6.8080000000000211</v>
      </c>
      <c r="G98" s="9"/>
    </row>
    <row r="99" spans="1:7" ht="13.5" thickBot="1" x14ac:dyDescent="0.25">
      <c r="F99" s="22">
        <f>SUM(E97:E98)</f>
        <v>103.43280000000001</v>
      </c>
      <c r="G99" s="9"/>
    </row>
    <row r="100" spans="1:7" ht="11.25" customHeight="1" x14ac:dyDescent="0.2">
      <c r="G100" s="9"/>
    </row>
    <row r="101" spans="1:7" ht="13.5" thickBot="1" x14ac:dyDescent="0.25">
      <c r="A101" s="9" t="s">
        <v>125</v>
      </c>
      <c r="F101" s="23"/>
      <c r="G101" s="9"/>
    </row>
    <row r="102" spans="1:7" ht="13.5" thickBot="1" x14ac:dyDescent="0.25">
      <c r="A102" s="59" t="s">
        <v>61</v>
      </c>
      <c r="B102" s="60" t="s">
        <v>62</v>
      </c>
      <c r="C102" s="60" t="s">
        <v>37</v>
      </c>
      <c r="D102" s="61" t="s">
        <v>240</v>
      </c>
      <c r="E102" s="61" t="s">
        <v>63</v>
      </c>
      <c r="F102" s="62" t="s">
        <v>64</v>
      </c>
      <c r="G102" s="9"/>
    </row>
    <row r="103" spans="1:7" x14ac:dyDescent="0.2">
      <c r="A103" s="16" t="str">
        <f>+A97</f>
        <v>Coletor</v>
      </c>
      <c r="B103" s="17" t="s">
        <v>9</v>
      </c>
      <c r="C103" s="101">
        <f>C96*(E31+E32)</f>
        <v>104</v>
      </c>
      <c r="D103" s="94">
        <f>17.41-(17.41*0.19)</f>
        <v>14.1021</v>
      </c>
      <c r="E103" s="49">
        <f>C103*D103</f>
        <v>1466.6184000000001</v>
      </c>
      <c r="F103" s="23"/>
      <c r="G103" s="9"/>
    </row>
    <row r="104" spans="1:7" ht="13.5" thickBot="1" x14ac:dyDescent="0.25">
      <c r="A104" s="16" t="str">
        <f>+A98</f>
        <v>Motorista</v>
      </c>
      <c r="B104" s="17" t="s">
        <v>9</v>
      </c>
      <c r="C104" s="101">
        <f>C96*(E33+E34)</f>
        <v>52</v>
      </c>
      <c r="D104" s="94">
        <v>11.14</v>
      </c>
      <c r="E104" s="49">
        <f>C104*D104</f>
        <v>579.28</v>
      </c>
      <c r="F104" s="23"/>
      <c r="G104" s="9"/>
    </row>
    <row r="105" spans="1:7" ht="13.5" thickBot="1" x14ac:dyDescent="0.25">
      <c r="F105" s="22">
        <f>SUM(E103:E104)</f>
        <v>2045.8984</v>
      </c>
      <c r="G105" s="9"/>
    </row>
    <row r="106" spans="1:7" x14ac:dyDescent="0.2">
      <c r="G106" s="9"/>
    </row>
    <row r="107" spans="1:7" ht="13.5" thickBot="1" x14ac:dyDescent="0.25">
      <c r="A107" s="9" t="s">
        <v>126</v>
      </c>
      <c r="F107" s="23"/>
      <c r="G107" s="9"/>
    </row>
    <row r="108" spans="1:7" ht="13.5" thickBot="1" x14ac:dyDescent="0.25">
      <c r="A108" s="59" t="s">
        <v>61</v>
      </c>
      <c r="B108" s="60" t="s">
        <v>62</v>
      </c>
      <c r="C108" s="60" t="s">
        <v>37</v>
      </c>
      <c r="D108" s="61" t="s">
        <v>240</v>
      </c>
      <c r="E108" s="61" t="s">
        <v>63</v>
      </c>
      <c r="F108" s="62" t="s">
        <v>64</v>
      </c>
      <c r="G108" s="9"/>
    </row>
    <row r="109" spans="1:7" x14ac:dyDescent="0.2">
      <c r="A109" s="16" t="str">
        <f>+A103</f>
        <v>Coletor</v>
      </c>
      <c r="B109" s="17" t="s">
        <v>9</v>
      </c>
      <c r="C109" s="101">
        <f>E31+E32</f>
        <v>4</v>
      </c>
      <c r="D109" s="94"/>
      <c r="E109" s="49">
        <f>C109*D109</f>
        <v>0</v>
      </c>
      <c r="F109" s="23"/>
      <c r="G109" s="9"/>
    </row>
    <row r="110" spans="1:7" ht="13.5" thickBot="1" x14ac:dyDescent="0.25">
      <c r="A110" s="16" t="str">
        <f>+A104</f>
        <v>Motorista</v>
      </c>
      <c r="B110" s="17" t="s">
        <v>9</v>
      </c>
      <c r="C110" s="101">
        <f>E33+E34</f>
        <v>2</v>
      </c>
      <c r="D110" s="94">
        <v>84.47</v>
      </c>
      <c r="E110" s="49">
        <f>C110*D110</f>
        <v>168.94</v>
      </c>
      <c r="F110" s="23"/>
      <c r="G110" s="9"/>
    </row>
    <row r="111" spans="1:7" ht="13.5" thickBot="1" x14ac:dyDescent="0.25">
      <c r="A111" s="308"/>
      <c r="D111" s="123" t="s">
        <v>198</v>
      </c>
      <c r="E111" s="49">
        <f>$B$41</f>
        <v>1</v>
      </c>
      <c r="F111" s="22">
        <f>SUM(E109:E110)*E111</f>
        <v>168.94</v>
      </c>
      <c r="G111" s="9"/>
    </row>
    <row r="112" spans="1:7" ht="13.5" thickBot="1" x14ac:dyDescent="0.25">
      <c r="G112" s="9"/>
    </row>
    <row r="113" spans="1:7" ht="13.5" thickBot="1" x14ac:dyDescent="0.25">
      <c r="A113" s="24" t="s">
        <v>93</v>
      </c>
      <c r="B113" s="25"/>
      <c r="C113" s="25"/>
      <c r="D113" s="26"/>
      <c r="E113" s="27"/>
      <c r="F113" s="22">
        <f>F111+F105+F99+F91+F77+F65+F53</f>
        <v>23442.604709807358</v>
      </c>
      <c r="G113" s="9"/>
    </row>
    <row r="115" spans="1:7" x14ac:dyDescent="0.2">
      <c r="A115" s="11" t="s">
        <v>42</v>
      </c>
      <c r="G115" s="9"/>
    </row>
    <row r="116" spans="1:7" ht="11.25" customHeight="1" x14ac:dyDescent="0.2">
      <c r="G116" s="9"/>
    </row>
    <row r="117" spans="1:7" ht="13.9" customHeight="1" x14ac:dyDescent="0.2">
      <c r="A117" s="9" t="s">
        <v>200</v>
      </c>
      <c r="G117" s="9"/>
    </row>
    <row r="118" spans="1:7" ht="11.25" customHeight="1" thickBot="1" x14ac:dyDescent="0.25">
      <c r="G118" s="9"/>
    </row>
    <row r="119" spans="1:7" ht="27.75" customHeight="1" thickBot="1" x14ac:dyDescent="0.25">
      <c r="A119" s="59" t="s">
        <v>61</v>
      </c>
      <c r="B119" s="60" t="s">
        <v>62</v>
      </c>
      <c r="C119" s="263" t="s">
        <v>258</v>
      </c>
      <c r="D119" s="61" t="s">
        <v>240</v>
      </c>
      <c r="E119" s="61" t="s">
        <v>63</v>
      </c>
      <c r="F119" s="62" t="s">
        <v>64</v>
      </c>
      <c r="G119" s="9"/>
    </row>
    <row r="120" spans="1:7" x14ac:dyDescent="0.2">
      <c r="A120" s="13" t="s">
        <v>65</v>
      </c>
      <c r="B120" s="14" t="s">
        <v>9</v>
      </c>
      <c r="C120" s="100">
        <v>6</v>
      </c>
      <c r="D120" s="86">
        <v>58</v>
      </c>
      <c r="E120" s="15">
        <f>IFERROR(D120/C120,0)</f>
        <v>9.6666666666666661</v>
      </c>
      <c r="G120" s="9"/>
    </row>
    <row r="121" spans="1:7" ht="13.15" customHeight="1" x14ac:dyDescent="0.2">
      <c r="A121" s="16" t="s">
        <v>28</v>
      </c>
      <c r="B121" s="17" t="s">
        <v>9</v>
      </c>
      <c r="C121" s="100">
        <v>3</v>
      </c>
      <c r="D121" s="86">
        <v>25</v>
      </c>
      <c r="E121" s="15">
        <f t="shared" ref="E121:E129" si="1">IFERROR(D121/C121,0)</f>
        <v>8.3333333333333339</v>
      </c>
      <c r="G121" s="9"/>
    </row>
    <row r="122" spans="1:7" x14ac:dyDescent="0.2">
      <c r="A122" s="16" t="s">
        <v>29</v>
      </c>
      <c r="B122" s="17" t="s">
        <v>9</v>
      </c>
      <c r="C122" s="100">
        <v>1.5</v>
      </c>
      <c r="D122" s="86">
        <v>15</v>
      </c>
      <c r="E122" s="15">
        <f t="shared" si="1"/>
        <v>10</v>
      </c>
      <c r="G122" s="9"/>
    </row>
    <row r="123" spans="1:7" ht="13.15" customHeight="1" x14ac:dyDescent="0.2">
      <c r="A123" s="16" t="s">
        <v>30</v>
      </c>
      <c r="B123" s="17" t="s">
        <v>9</v>
      </c>
      <c r="C123" s="100">
        <v>2</v>
      </c>
      <c r="D123" s="86">
        <v>8</v>
      </c>
      <c r="E123" s="15">
        <f t="shared" si="1"/>
        <v>4</v>
      </c>
      <c r="G123" s="9"/>
    </row>
    <row r="124" spans="1:7" ht="13.9" customHeight="1" x14ac:dyDescent="0.2">
      <c r="A124" s="16" t="s">
        <v>67</v>
      </c>
      <c r="B124" s="17" t="s">
        <v>45</v>
      </c>
      <c r="C124" s="100">
        <v>3</v>
      </c>
      <c r="D124" s="86">
        <v>50</v>
      </c>
      <c r="E124" s="15">
        <f t="shared" si="1"/>
        <v>16.666666666666668</v>
      </c>
      <c r="G124" s="9"/>
    </row>
    <row r="125" spans="1:7" ht="13.15" customHeight="1" x14ac:dyDescent="0.2">
      <c r="A125" s="16" t="s">
        <v>94</v>
      </c>
      <c r="B125" s="17" t="s">
        <v>45</v>
      </c>
      <c r="C125" s="100">
        <v>2</v>
      </c>
      <c r="D125" s="86">
        <v>5</v>
      </c>
      <c r="E125" s="15">
        <f t="shared" si="1"/>
        <v>2.5</v>
      </c>
    </row>
    <row r="126" spans="1:7" x14ac:dyDescent="0.2">
      <c r="A126" s="16" t="s">
        <v>66</v>
      </c>
      <c r="B126" s="17" t="s">
        <v>9</v>
      </c>
      <c r="C126" s="100">
        <v>2</v>
      </c>
      <c r="D126" s="86">
        <v>20</v>
      </c>
      <c r="E126" s="15">
        <f t="shared" si="1"/>
        <v>10</v>
      </c>
    </row>
    <row r="127" spans="1:7" s="1" customFormat="1" x14ac:dyDescent="0.2">
      <c r="A127" s="2" t="s">
        <v>10</v>
      </c>
      <c r="B127" s="3" t="s">
        <v>9</v>
      </c>
      <c r="C127" s="100">
        <v>2</v>
      </c>
      <c r="D127" s="86">
        <v>10</v>
      </c>
      <c r="E127" s="15">
        <f t="shared" si="1"/>
        <v>5</v>
      </c>
      <c r="F127" s="38"/>
      <c r="G127" s="38"/>
    </row>
    <row r="128" spans="1:7" x14ac:dyDescent="0.2">
      <c r="A128" s="16" t="s">
        <v>31</v>
      </c>
      <c r="B128" s="17" t="s">
        <v>45</v>
      </c>
      <c r="C128" s="100">
        <v>0.25</v>
      </c>
      <c r="D128" s="86">
        <v>5</v>
      </c>
      <c r="E128" s="15">
        <f t="shared" si="1"/>
        <v>20</v>
      </c>
    </row>
    <row r="129" spans="1:7" ht="13.15" customHeight="1" x14ac:dyDescent="0.2">
      <c r="A129" s="16" t="s">
        <v>60</v>
      </c>
      <c r="B129" s="17" t="s">
        <v>46</v>
      </c>
      <c r="C129" s="100">
        <v>1.5</v>
      </c>
      <c r="D129" s="86">
        <v>15</v>
      </c>
      <c r="E129" s="15">
        <f t="shared" si="1"/>
        <v>10</v>
      </c>
    </row>
    <row r="130" spans="1:7" x14ac:dyDescent="0.2">
      <c r="A130" s="16" t="s">
        <v>201</v>
      </c>
      <c r="B130" s="17" t="s">
        <v>127</v>
      </c>
      <c r="C130" s="121">
        <v>1</v>
      </c>
      <c r="D130" s="86">
        <v>145</v>
      </c>
      <c r="E130" s="18">
        <f t="shared" ref="E130:E131" si="2">C130*D130</f>
        <v>145</v>
      </c>
    </row>
    <row r="131" spans="1:7" ht="13.5" thickBot="1" x14ac:dyDescent="0.25">
      <c r="A131" s="16" t="s">
        <v>4</v>
      </c>
      <c r="B131" s="17" t="s">
        <v>5</v>
      </c>
      <c r="C131" s="68">
        <f>E31+E32</f>
        <v>4</v>
      </c>
      <c r="D131" s="18">
        <f>+SUM(E120:E130)</f>
        <v>241.16666666666669</v>
      </c>
      <c r="E131" s="18">
        <f t="shared" si="2"/>
        <v>964.66666666666674</v>
      </c>
    </row>
    <row r="132" spans="1:7" ht="13.5" thickBot="1" x14ac:dyDescent="0.25">
      <c r="D132" s="123" t="s">
        <v>198</v>
      </c>
      <c r="E132" s="49">
        <f>$B$41</f>
        <v>1</v>
      </c>
      <c r="F132" s="124">
        <f>E131*E132</f>
        <v>964.66666666666674</v>
      </c>
    </row>
    <row r="133" spans="1:7" ht="11.25" customHeight="1" x14ac:dyDescent="0.2"/>
    <row r="134" spans="1:7" ht="13.9" customHeight="1" x14ac:dyDescent="0.2">
      <c r="A134" s="9" t="s">
        <v>202</v>
      </c>
    </row>
    <row r="135" spans="1:7" ht="11.25" customHeight="1" thickBot="1" x14ac:dyDescent="0.25"/>
    <row r="136" spans="1:7" ht="24.75" thickBot="1" x14ac:dyDescent="0.25">
      <c r="A136" s="59" t="s">
        <v>61</v>
      </c>
      <c r="B136" s="60" t="s">
        <v>62</v>
      </c>
      <c r="C136" s="263" t="s">
        <v>258</v>
      </c>
      <c r="D136" s="61" t="s">
        <v>240</v>
      </c>
      <c r="E136" s="61" t="s">
        <v>63</v>
      </c>
      <c r="F136" s="62" t="s">
        <v>64</v>
      </c>
    </row>
    <row r="137" spans="1:7" x14ac:dyDescent="0.2">
      <c r="A137" s="13" t="s">
        <v>65</v>
      </c>
      <c r="B137" s="14" t="s">
        <v>9</v>
      </c>
      <c r="C137" s="100">
        <v>6</v>
      </c>
      <c r="D137" s="15">
        <f>+D120</f>
        <v>58</v>
      </c>
      <c r="E137" s="15">
        <f>IFERROR(D137/C137,0)</f>
        <v>9.6666666666666661</v>
      </c>
    </row>
    <row r="138" spans="1:7" x14ac:dyDescent="0.2">
      <c r="A138" s="16" t="s">
        <v>28</v>
      </c>
      <c r="B138" s="17" t="s">
        <v>9</v>
      </c>
      <c r="C138" s="100">
        <v>3</v>
      </c>
      <c r="D138" s="18">
        <f>+D121</f>
        <v>25</v>
      </c>
      <c r="E138" s="15">
        <f t="shared" ref="E138:E142" si="3">IFERROR(D138/C138,0)</f>
        <v>8.3333333333333339</v>
      </c>
    </row>
    <row r="139" spans="1:7" x14ac:dyDescent="0.2">
      <c r="A139" s="16" t="s">
        <v>29</v>
      </c>
      <c r="B139" s="17" t="s">
        <v>9</v>
      </c>
      <c r="C139" s="100">
        <v>2</v>
      </c>
      <c r="D139" s="18">
        <f>+D122</f>
        <v>15</v>
      </c>
      <c r="E139" s="15">
        <f t="shared" si="3"/>
        <v>7.5</v>
      </c>
    </row>
    <row r="140" spans="1:7" x14ac:dyDescent="0.2">
      <c r="A140" s="16" t="s">
        <v>67</v>
      </c>
      <c r="B140" s="17" t="s">
        <v>45</v>
      </c>
      <c r="C140" s="100">
        <v>6</v>
      </c>
      <c r="D140" s="18">
        <f>+D124</f>
        <v>50</v>
      </c>
      <c r="E140" s="15">
        <f t="shared" si="3"/>
        <v>8.3333333333333339</v>
      </c>
    </row>
    <row r="141" spans="1:7" x14ac:dyDescent="0.2">
      <c r="A141" s="16" t="s">
        <v>66</v>
      </c>
      <c r="B141" s="17" t="s">
        <v>9</v>
      </c>
      <c r="C141" s="100">
        <v>6</v>
      </c>
      <c r="D141" s="18">
        <f>+D126</f>
        <v>20</v>
      </c>
      <c r="E141" s="15">
        <f t="shared" si="3"/>
        <v>3.3333333333333335</v>
      </c>
      <c r="G141" s="9"/>
    </row>
    <row r="142" spans="1:7" x14ac:dyDescent="0.2">
      <c r="A142" s="16" t="s">
        <v>60</v>
      </c>
      <c r="B142" s="17" t="s">
        <v>46</v>
      </c>
      <c r="C142" s="100">
        <v>0.5</v>
      </c>
      <c r="D142" s="18">
        <f>+D129</f>
        <v>15</v>
      </c>
      <c r="E142" s="15">
        <f t="shared" si="3"/>
        <v>30</v>
      </c>
      <c r="G142" s="9"/>
    </row>
    <row r="143" spans="1:7" x14ac:dyDescent="0.2">
      <c r="A143" s="16" t="s">
        <v>201</v>
      </c>
      <c r="B143" s="17" t="s">
        <v>127</v>
      </c>
      <c r="C143" s="121">
        <v>1</v>
      </c>
      <c r="D143" s="86">
        <v>145</v>
      </c>
      <c r="E143" s="18">
        <f t="shared" ref="E143:E144" si="4">C143*D143</f>
        <v>145</v>
      </c>
      <c r="G143" s="9"/>
    </row>
    <row r="144" spans="1:7" ht="13.5" thickBot="1" x14ac:dyDescent="0.25">
      <c r="A144" s="16" t="s">
        <v>4</v>
      </c>
      <c r="B144" s="17" t="s">
        <v>5</v>
      </c>
      <c r="C144" s="68">
        <f>E33+E34</f>
        <v>2</v>
      </c>
      <c r="D144" s="18">
        <f>+SUM(E137:E143)</f>
        <v>212.16666666666669</v>
      </c>
      <c r="E144" s="18">
        <f t="shared" si="4"/>
        <v>424.33333333333337</v>
      </c>
      <c r="G144" s="9"/>
    </row>
    <row r="145" spans="1:10" ht="13.5" thickBot="1" x14ac:dyDescent="0.25">
      <c r="D145" s="123" t="s">
        <v>198</v>
      </c>
      <c r="E145" s="49">
        <f>$B$41</f>
        <v>1</v>
      </c>
      <c r="F145" s="124">
        <f>E144*E145</f>
        <v>424.33333333333337</v>
      </c>
      <c r="G145" s="9"/>
    </row>
    <row r="146" spans="1:10" ht="11.25" customHeight="1" thickBot="1" x14ac:dyDescent="0.25">
      <c r="G146" s="9"/>
    </row>
    <row r="147" spans="1:10" ht="13.5" thickBot="1" x14ac:dyDescent="0.25">
      <c r="A147" s="24" t="s">
        <v>203</v>
      </c>
      <c r="B147" s="28"/>
      <c r="C147" s="28"/>
      <c r="D147" s="29"/>
      <c r="E147" s="30"/>
      <c r="F147" s="21">
        <f>+F132+F145</f>
        <v>1389</v>
      </c>
      <c r="G147" s="9"/>
    </row>
    <row r="148" spans="1:10" ht="11.25" customHeight="1" x14ac:dyDescent="0.2">
      <c r="G148" s="9"/>
    </row>
    <row r="149" spans="1:10" x14ac:dyDescent="0.2">
      <c r="A149" s="11" t="s">
        <v>51</v>
      </c>
      <c r="G149" s="9"/>
    </row>
    <row r="150" spans="1:10" ht="11.25" customHeight="1" x14ac:dyDescent="0.2">
      <c r="B150" s="106"/>
      <c r="G150" s="9"/>
    </row>
    <row r="151" spans="1:10" x14ac:dyDescent="0.2">
      <c r="A151" s="7" t="s">
        <v>299</v>
      </c>
      <c r="G151" s="9"/>
    </row>
    <row r="152" spans="1:10" ht="11.25" customHeight="1" x14ac:dyDescent="0.2">
      <c r="G152" s="9"/>
    </row>
    <row r="153" spans="1:10" ht="13.5" thickBot="1" x14ac:dyDescent="0.25">
      <c r="A153" s="106" t="s">
        <v>43</v>
      </c>
      <c r="G153" s="9"/>
    </row>
    <row r="154" spans="1:10" ht="13.5" thickBot="1" x14ac:dyDescent="0.25">
      <c r="A154" s="59" t="s">
        <v>61</v>
      </c>
      <c r="B154" s="60" t="s">
        <v>62</v>
      </c>
      <c r="C154" s="60" t="s">
        <v>37</v>
      </c>
      <c r="D154" s="61" t="s">
        <v>240</v>
      </c>
      <c r="E154" s="61" t="s">
        <v>63</v>
      </c>
      <c r="F154" s="62" t="s">
        <v>64</v>
      </c>
      <c r="G154" s="9"/>
    </row>
    <row r="155" spans="1:10" x14ac:dyDescent="0.2">
      <c r="A155" s="13" t="s">
        <v>109</v>
      </c>
      <c r="B155" s="14" t="s">
        <v>9</v>
      </c>
      <c r="C155" s="269">
        <v>1</v>
      </c>
      <c r="D155" s="86">
        <v>333500</v>
      </c>
      <c r="E155" s="15">
        <f>C155*D155</f>
        <v>333500</v>
      </c>
      <c r="G155" s="9"/>
    </row>
    <row r="156" spans="1:10" x14ac:dyDescent="0.2">
      <c r="A156" s="16" t="s">
        <v>103</v>
      </c>
      <c r="B156" s="17" t="s">
        <v>104</v>
      </c>
      <c r="C156" s="85">
        <v>5</v>
      </c>
      <c r="D156" s="82"/>
      <c r="E156" s="18"/>
      <c r="G156" s="9"/>
    </row>
    <row r="157" spans="1:10" x14ac:dyDescent="0.2">
      <c r="A157" s="16" t="s">
        <v>215</v>
      </c>
      <c r="B157" s="17" t="s">
        <v>104</v>
      </c>
      <c r="C157" s="85">
        <v>0</v>
      </c>
      <c r="D157" s="18"/>
      <c r="E157" s="18"/>
      <c r="F157" s="20"/>
      <c r="I157" s="84"/>
      <c r="J157" s="84"/>
    </row>
    <row r="158" spans="1:10" x14ac:dyDescent="0.2">
      <c r="A158" s="16" t="s">
        <v>107</v>
      </c>
      <c r="B158" s="17" t="s">
        <v>1</v>
      </c>
      <c r="C158" s="140">
        <f>IFERROR(VLOOKUP(C156,'5. Depreciação'!A3:B17,2,FALSE),0)</f>
        <v>55.679999999999993</v>
      </c>
      <c r="D158" s="18">
        <f>E155</f>
        <v>333500</v>
      </c>
      <c r="E158" s="18">
        <f>C158*D158/100</f>
        <v>185692.79999999996</v>
      </c>
    </row>
    <row r="159" spans="1:10" ht="13.5" thickBot="1" x14ac:dyDescent="0.25">
      <c r="A159" s="272" t="s">
        <v>47</v>
      </c>
      <c r="B159" s="273" t="s">
        <v>7</v>
      </c>
      <c r="C159" s="273">
        <f>C156*12</f>
        <v>60</v>
      </c>
      <c r="D159" s="274">
        <f>IF(C157&lt;=C156,E158,0)</f>
        <v>185692.79999999996</v>
      </c>
      <c r="E159" s="274">
        <f>IFERROR(D159/C159,0)</f>
        <v>3094.8799999999992</v>
      </c>
    </row>
    <row r="160" spans="1:10" ht="13.5" thickTop="1" x14ac:dyDescent="0.2">
      <c r="A160" s="13" t="s">
        <v>108</v>
      </c>
      <c r="B160" s="14" t="s">
        <v>9</v>
      </c>
      <c r="C160" s="14">
        <f>C155</f>
        <v>1</v>
      </c>
      <c r="D160" s="86">
        <v>145000</v>
      </c>
      <c r="E160" s="15">
        <f>C160*D160</f>
        <v>145000</v>
      </c>
      <c r="G160" s="9"/>
    </row>
    <row r="161" spans="1:10" x14ac:dyDescent="0.2">
      <c r="A161" s="16" t="s">
        <v>105</v>
      </c>
      <c r="B161" s="17" t="s">
        <v>104</v>
      </c>
      <c r="C161" s="85">
        <v>5</v>
      </c>
      <c r="D161" s="305" t="s">
        <v>300</v>
      </c>
      <c r="E161" s="18"/>
    </row>
    <row r="162" spans="1:10" x14ac:dyDescent="0.2">
      <c r="A162" s="16" t="s">
        <v>216</v>
      </c>
      <c r="B162" s="17" t="s">
        <v>104</v>
      </c>
      <c r="C162" s="85">
        <v>0</v>
      </c>
      <c r="D162" s="18"/>
      <c r="E162" s="18"/>
      <c r="F162" s="20"/>
      <c r="I162" s="84"/>
      <c r="J162" s="84"/>
    </row>
    <row r="163" spans="1:10" x14ac:dyDescent="0.2">
      <c r="A163" s="16" t="s">
        <v>106</v>
      </c>
      <c r="B163" s="17" t="s">
        <v>1</v>
      </c>
      <c r="C163" s="141">
        <f>IFERROR(VLOOKUP(C161,'5. Depreciação'!A3:B17,2,FALSE),0)</f>
        <v>55.679999999999993</v>
      </c>
      <c r="D163" s="18">
        <f>E160</f>
        <v>145000</v>
      </c>
      <c r="E163" s="18">
        <f>C163*D163/100</f>
        <v>80735.999999999985</v>
      </c>
    </row>
    <row r="164" spans="1:10" x14ac:dyDescent="0.2">
      <c r="A164" s="102" t="s">
        <v>110</v>
      </c>
      <c r="B164" s="103" t="s">
        <v>7</v>
      </c>
      <c r="C164" s="103">
        <f>C161*12</f>
        <v>60</v>
      </c>
      <c r="D164" s="104">
        <f>IF(C162&lt;=C161,E163,0)</f>
        <v>80735.999999999985</v>
      </c>
      <c r="E164" s="104">
        <f>IFERROR(D164/C164,0)</f>
        <v>1345.5999999999997</v>
      </c>
    </row>
    <row r="165" spans="1:10" x14ac:dyDescent="0.2">
      <c r="A165" s="116" t="s">
        <v>261</v>
      </c>
      <c r="B165" s="117"/>
      <c r="C165" s="117"/>
      <c r="D165" s="118"/>
      <c r="E165" s="119">
        <f>E159+E164</f>
        <v>4440.4799999999987</v>
      </c>
    </row>
    <row r="166" spans="1:10" ht="13.5" thickBot="1" x14ac:dyDescent="0.25">
      <c r="A166" s="102" t="s">
        <v>262</v>
      </c>
      <c r="B166" s="103" t="s">
        <v>9</v>
      </c>
      <c r="C166" s="85">
        <v>1</v>
      </c>
      <c r="D166" s="104">
        <f>E165</f>
        <v>4440.4799999999987</v>
      </c>
      <c r="E166" s="119">
        <f>C166*D166</f>
        <v>4440.4799999999987</v>
      </c>
    </row>
    <row r="167" spans="1:10" ht="13.5" thickBot="1" x14ac:dyDescent="0.25">
      <c r="A167" s="268"/>
      <c r="B167" s="268"/>
      <c r="C167" s="268"/>
      <c r="D167" s="123" t="s">
        <v>198</v>
      </c>
      <c r="E167" s="49">
        <f>$B$41</f>
        <v>1</v>
      </c>
      <c r="F167" s="21">
        <f>E166*E167</f>
        <v>4440.4799999999987</v>
      </c>
    </row>
    <row r="168" spans="1:10" ht="11.25" customHeight="1" x14ac:dyDescent="0.2"/>
    <row r="169" spans="1:10" ht="13.5" thickBot="1" x14ac:dyDescent="0.25">
      <c r="A169" s="106" t="s">
        <v>115</v>
      </c>
    </row>
    <row r="170" spans="1:10" ht="13.5" thickBot="1" x14ac:dyDescent="0.25">
      <c r="A170" s="108" t="s">
        <v>61</v>
      </c>
      <c r="B170" s="109" t="s">
        <v>62</v>
      </c>
      <c r="C170" s="109" t="s">
        <v>37</v>
      </c>
      <c r="D170" s="61" t="s">
        <v>240</v>
      </c>
      <c r="E170" s="110" t="s">
        <v>63</v>
      </c>
      <c r="F170" s="62" t="s">
        <v>64</v>
      </c>
      <c r="I170" s="84"/>
      <c r="J170" s="84"/>
    </row>
    <row r="171" spans="1:10" x14ac:dyDescent="0.2">
      <c r="A171" s="16" t="s">
        <v>113</v>
      </c>
      <c r="B171" s="17" t="s">
        <v>9</v>
      </c>
      <c r="C171" s="269">
        <v>1</v>
      </c>
      <c r="D171" s="18">
        <f>D155</f>
        <v>333500</v>
      </c>
      <c r="E171" s="18">
        <f>C171*D171</f>
        <v>333500</v>
      </c>
      <c r="F171" s="20"/>
      <c r="I171" s="84"/>
      <c r="J171" s="84"/>
    </row>
    <row r="172" spans="1:10" x14ac:dyDescent="0.2">
      <c r="A172" s="16" t="s">
        <v>219</v>
      </c>
      <c r="B172" s="17" t="s">
        <v>1</v>
      </c>
      <c r="C172" s="85">
        <v>2.15</v>
      </c>
      <c r="D172" s="18"/>
      <c r="E172" s="18"/>
      <c r="F172" s="20"/>
      <c r="I172" s="84"/>
      <c r="J172" s="84"/>
    </row>
    <row r="173" spans="1:10" x14ac:dyDescent="0.2">
      <c r="A173" s="16" t="s">
        <v>217</v>
      </c>
      <c r="B173" s="17" t="s">
        <v>32</v>
      </c>
      <c r="C173" s="148">
        <f>IFERROR(IF(C157&lt;=C156,E155-(C158/(100*C156)*C157)*E155,E155-E158),0)</f>
        <v>333500</v>
      </c>
      <c r="D173" s="18"/>
      <c r="E173" s="18"/>
      <c r="F173" s="20"/>
      <c r="I173" s="84"/>
      <c r="J173" s="84"/>
    </row>
    <row r="174" spans="1:10" x14ac:dyDescent="0.2">
      <c r="A174" s="16" t="s">
        <v>118</v>
      </c>
      <c r="B174" s="17" t="s">
        <v>32</v>
      </c>
      <c r="C174" s="82">
        <f>IFERROR(IF(C157&gt;=C156,C173,((((C173)-(E155-E158))*(((C156-C157)+1)/(2*(C156-C157))))+(E155-E158))),0)</f>
        <v>259222.88</v>
      </c>
      <c r="D174" s="18"/>
      <c r="E174" s="18"/>
      <c r="F174" s="20"/>
      <c r="I174" s="84"/>
      <c r="J174" s="84"/>
    </row>
    <row r="175" spans="1:10" ht="13.5" thickBot="1" x14ac:dyDescent="0.25">
      <c r="A175" s="272" t="s">
        <v>119</v>
      </c>
      <c r="B175" s="273" t="s">
        <v>32</v>
      </c>
      <c r="C175" s="273"/>
      <c r="D175" s="275">
        <f>C172*C174/12/100</f>
        <v>464.44099333333338</v>
      </c>
      <c r="E175" s="274">
        <f>D175</f>
        <v>464.44099333333338</v>
      </c>
      <c r="F175" s="20"/>
      <c r="I175" s="84"/>
      <c r="J175" s="84"/>
    </row>
    <row r="176" spans="1:10" ht="13.5" thickTop="1" x14ac:dyDescent="0.2">
      <c r="A176" s="13" t="s">
        <v>114</v>
      </c>
      <c r="B176" s="14" t="s">
        <v>9</v>
      </c>
      <c r="C176" s="14">
        <f>C160</f>
        <v>1</v>
      </c>
      <c r="D176" s="15">
        <f>D160</f>
        <v>145000</v>
      </c>
      <c r="E176" s="15">
        <f>C176*D176</f>
        <v>145000</v>
      </c>
      <c r="F176" s="20"/>
      <c r="I176" s="84"/>
      <c r="J176" s="84"/>
    </row>
    <row r="177" spans="1:10" x14ac:dyDescent="0.2">
      <c r="A177" s="16" t="s">
        <v>219</v>
      </c>
      <c r="B177" s="17" t="s">
        <v>1</v>
      </c>
      <c r="C177" s="270">
        <f>C172</f>
        <v>2.15</v>
      </c>
      <c r="D177" s="18"/>
      <c r="E177" s="18"/>
      <c r="F177" s="20"/>
      <c r="I177" s="84"/>
      <c r="J177" s="84"/>
    </row>
    <row r="178" spans="1:10" x14ac:dyDescent="0.2">
      <c r="A178" s="16" t="s">
        <v>218</v>
      </c>
      <c r="B178" s="17" t="s">
        <v>32</v>
      </c>
      <c r="C178" s="148">
        <f>IFERROR(IF(C162&lt;=C161,E160-(C163/(100*C161)*C162)*E160,E160-E163),0)</f>
        <v>145000</v>
      </c>
      <c r="D178" s="18"/>
      <c r="E178" s="18"/>
      <c r="F178" s="20"/>
      <c r="I178" s="84"/>
      <c r="J178" s="84"/>
    </row>
    <row r="179" spans="1:10" x14ac:dyDescent="0.2">
      <c r="A179" s="16" t="s">
        <v>120</v>
      </c>
      <c r="B179" s="17" t="s">
        <v>32</v>
      </c>
      <c r="C179" s="82">
        <f>IFERROR(IF(C162&gt;=C161,C178,((((C178)-(E160-E163))*(((C161-C162)+1)/(2*(C161-C162))))+(E160-E163))),0)</f>
        <v>112705.60000000001</v>
      </c>
      <c r="D179" s="18"/>
      <c r="E179" s="18"/>
      <c r="F179" s="20"/>
      <c r="I179" s="84"/>
      <c r="J179" s="84"/>
    </row>
    <row r="180" spans="1:10" x14ac:dyDescent="0.2">
      <c r="A180" s="102" t="s">
        <v>117</v>
      </c>
      <c r="B180" s="103" t="s">
        <v>32</v>
      </c>
      <c r="C180" s="103"/>
      <c r="D180" s="112">
        <f>C177*C179/12/100</f>
        <v>201.93086666666667</v>
      </c>
      <c r="E180" s="104">
        <f>D180</f>
        <v>201.93086666666667</v>
      </c>
      <c r="F180" s="20"/>
      <c r="I180" s="84"/>
      <c r="J180" s="84"/>
    </row>
    <row r="181" spans="1:10" x14ac:dyDescent="0.2">
      <c r="A181" s="116" t="s">
        <v>261</v>
      </c>
      <c r="B181" s="117"/>
      <c r="C181" s="117"/>
      <c r="D181" s="118"/>
      <c r="E181" s="119">
        <f>E175+E180</f>
        <v>666.37186000000008</v>
      </c>
      <c r="F181" s="20"/>
      <c r="I181" s="84"/>
      <c r="J181" s="84"/>
    </row>
    <row r="182" spans="1:10" ht="13.5" thickBot="1" x14ac:dyDescent="0.25">
      <c r="A182" s="102" t="s">
        <v>262</v>
      </c>
      <c r="B182" s="103" t="s">
        <v>9</v>
      </c>
      <c r="C182" s="270">
        <f>C166</f>
        <v>1</v>
      </c>
      <c r="D182" s="104">
        <f>E181</f>
        <v>666.37186000000008</v>
      </c>
      <c r="E182" s="119">
        <f>C182*D182</f>
        <v>666.37186000000008</v>
      </c>
      <c r="F182" s="20"/>
      <c r="I182" s="84"/>
      <c r="J182" s="84"/>
    </row>
    <row r="183" spans="1:10" ht="13.5" thickBot="1" x14ac:dyDescent="0.25">
      <c r="C183" s="19"/>
      <c r="D183" s="123" t="s">
        <v>198</v>
      </c>
      <c r="E183" s="49">
        <f>$B$41</f>
        <v>1</v>
      </c>
      <c r="F183" s="21">
        <f>E182*E183</f>
        <v>666.37186000000008</v>
      </c>
      <c r="I183" s="84"/>
      <c r="J183" s="84"/>
    </row>
    <row r="184" spans="1:10" ht="11.25" customHeight="1" x14ac:dyDescent="0.2">
      <c r="I184" s="84"/>
      <c r="J184" s="84"/>
    </row>
    <row r="185" spans="1:10" ht="13.5" thickBot="1" x14ac:dyDescent="0.25">
      <c r="A185" s="9" t="s">
        <v>48</v>
      </c>
      <c r="I185" s="84"/>
      <c r="J185" s="84"/>
    </row>
    <row r="186" spans="1:10" ht="13.5" thickBot="1" x14ac:dyDescent="0.25">
      <c r="A186" s="59" t="s">
        <v>61</v>
      </c>
      <c r="B186" s="60" t="s">
        <v>62</v>
      </c>
      <c r="C186" s="60" t="s">
        <v>37</v>
      </c>
      <c r="D186" s="61" t="s">
        <v>240</v>
      </c>
      <c r="E186" s="61" t="s">
        <v>63</v>
      </c>
      <c r="F186" s="62" t="s">
        <v>64</v>
      </c>
      <c r="I186" s="84"/>
      <c r="J186" s="84"/>
    </row>
    <row r="187" spans="1:10" x14ac:dyDescent="0.2">
      <c r="A187" s="13" t="s">
        <v>11</v>
      </c>
      <c r="B187" s="14" t="s">
        <v>9</v>
      </c>
      <c r="C187" s="15">
        <f>C166</f>
        <v>1</v>
      </c>
      <c r="D187" s="15">
        <f>0.01*($E$155)</f>
        <v>3335</v>
      </c>
      <c r="E187" s="15">
        <f>C187*D187</f>
        <v>3335</v>
      </c>
      <c r="I187" s="84"/>
      <c r="J187" s="84"/>
    </row>
    <row r="188" spans="1:10" x14ac:dyDescent="0.2">
      <c r="A188" s="16" t="s">
        <v>197</v>
      </c>
      <c r="B188" s="17" t="s">
        <v>9</v>
      </c>
      <c r="C188" s="15">
        <f>C166</f>
        <v>1</v>
      </c>
      <c r="D188" s="88">
        <v>300</v>
      </c>
      <c r="E188" s="18">
        <f>C188*D188</f>
        <v>300</v>
      </c>
      <c r="I188" s="84"/>
      <c r="J188" s="84"/>
    </row>
    <row r="189" spans="1:10" x14ac:dyDescent="0.2">
      <c r="A189" s="16" t="s">
        <v>12</v>
      </c>
      <c r="B189" s="17" t="s">
        <v>9</v>
      </c>
      <c r="C189" s="15">
        <f>C166</f>
        <v>1</v>
      </c>
      <c r="D189" s="88">
        <v>2000</v>
      </c>
      <c r="E189" s="18">
        <f>C189*D189</f>
        <v>2000</v>
      </c>
      <c r="F189" s="31"/>
      <c r="I189" s="84"/>
      <c r="J189" s="84"/>
    </row>
    <row r="190" spans="1:10" ht="13.5" thickBot="1" x14ac:dyDescent="0.25">
      <c r="A190" s="102" t="s">
        <v>13</v>
      </c>
      <c r="B190" s="103" t="s">
        <v>7</v>
      </c>
      <c r="C190" s="103">
        <v>12</v>
      </c>
      <c r="D190" s="104">
        <f>SUM(E187:E189)</f>
        <v>5635</v>
      </c>
      <c r="E190" s="104">
        <f>D190/C190</f>
        <v>469.58333333333331</v>
      </c>
      <c r="I190" s="84"/>
      <c r="J190" s="84"/>
    </row>
    <row r="191" spans="1:10" ht="13.5" thickBot="1" x14ac:dyDescent="0.25">
      <c r="D191" s="123" t="s">
        <v>198</v>
      </c>
      <c r="E191" s="49">
        <f>$B$41</f>
        <v>1</v>
      </c>
      <c r="F191" s="124">
        <f>E190*E191</f>
        <v>469.58333333333331</v>
      </c>
      <c r="I191" s="84"/>
      <c r="J191" s="84"/>
    </row>
    <row r="192" spans="1:10" ht="11.25" customHeight="1" x14ac:dyDescent="0.2">
      <c r="I192" s="84"/>
      <c r="J192" s="84"/>
    </row>
    <row r="193" spans="1:10" x14ac:dyDescent="0.2">
      <c r="A193" s="9" t="s">
        <v>49</v>
      </c>
      <c r="B193" s="32"/>
      <c r="I193" s="84"/>
      <c r="J193" s="84"/>
    </row>
    <row r="194" spans="1:10" x14ac:dyDescent="0.2">
      <c r="B194" s="32"/>
      <c r="I194" s="84"/>
      <c r="J194" s="84"/>
    </row>
    <row r="195" spans="1:10" x14ac:dyDescent="0.2">
      <c r="A195" s="102" t="s">
        <v>122</v>
      </c>
      <c r="B195" s="113">
        <v>5800</v>
      </c>
      <c r="I195" s="84"/>
      <c r="J195" s="84"/>
    </row>
    <row r="196" spans="1:10" ht="13.5" thickBot="1" x14ac:dyDescent="0.25">
      <c r="B196" s="32"/>
      <c r="I196" s="84"/>
      <c r="J196" s="84"/>
    </row>
    <row r="197" spans="1:10" ht="13.5" thickBot="1" x14ac:dyDescent="0.25">
      <c r="A197" s="59" t="s">
        <v>61</v>
      </c>
      <c r="B197" s="60" t="s">
        <v>62</v>
      </c>
      <c r="C197" s="60" t="s">
        <v>260</v>
      </c>
      <c r="D197" s="61" t="s">
        <v>240</v>
      </c>
      <c r="E197" s="61" t="s">
        <v>63</v>
      </c>
      <c r="F197" s="62" t="s">
        <v>64</v>
      </c>
      <c r="I197" s="84"/>
      <c r="J197" s="84"/>
    </row>
    <row r="198" spans="1:10" x14ac:dyDescent="0.2">
      <c r="A198" s="13" t="s">
        <v>14</v>
      </c>
      <c r="B198" s="14" t="s">
        <v>15</v>
      </c>
      <c r="C198" s="96">
        <v>1.8</v>
      </c>
      <c r="D198" s="97">
        <v>3.37</v>
      </c>
      <c r="E198" s="15"/>
      <c r="I198" s="84"/>
      <c r="J198" s="84"/>
    </row>
    <row r="199" spans="1:10" x14ac:dyDescent="0.2">
      <c r="A199" s="16" t="s">
        <v>16</v>
      </c>
      <c r="B199" s="17" t="s">
        <v>17</v>
      </c>
      <c r="C199" s="93">
        <f>B195</f>
        <v>5800</v>
      </c>
      <c r="D199" s="267">
        <f>IFERROR(+D198/C198,"-")</f>
        <v>1.8722222222222222</v>
      </c>
      <c r="E199" s="18">
        <f>IFERROR(C199*D199,"-")</f>
        <v>10858.888888888889</v>
      </c>
      <c r="I199" s="84"/>
      <c r="J199" s="84"/>
    </row>
    <row r="200" spans="1:10" x14ac:dyDescent="0.2">
      <c r="A200" s="16" t="s">
        <v>241</v>
      </c>
      <c r="B200" s="17" t="s">
        <v>18</v>
      </c>
      <c r="C200" s="99">
        <v>5</v>
      </c>
      <c r="D200" s="88">
        <v>10.88</v>
      </c>
      <c r="E200" s="18"/>
      <c r="G200" s="111"/>
      <c r="H200" s="51"/>
      <c r="I200" s="84"/>
      <c r="J200" s="84"/>
    </row>
    <row r="201" spans="1:10" x14ac:dyDescent="0.2">
      <c r="A201" s="16" t="s">
        <v>19</v>
      </c>
      <c r="B201" s="17" t="s">
        <v>17</v>
      </c>
      <c r="C201" s="93">
        <f>C199</f>
        <v>5800</v>
      </c>
      <c r="D201" s="264">
        <f>+C200*D200/1000</f>
        <v>5.4400000000000004E-2</v>
      </c>
      <c r="E201" s="18">
        <f>C201*D201</f>
        <v>315.52000000000004</v>
      </c>
      <c r="G201" s="111"/>
      <c r="H201" s="51"/>
      <c r="I201" s="84"/>
      <c r="J201" s="84"/>
    </row>
    <row r="202" spans="1:10" x14ac:dyDescent="0.2">
      <c r="A202" s="16" t="s">
        <v>242</v>
      </c>
      <c r="B202" s="17" t="s">
        <v>18</v>
      </c>
      <c r="C202" s="99">
        <v>0.85</v>
      </c>
      <c r="D202" s="88">
        <v>12.78</v>
      </c>
      <c r="E202" s="18"/>
      <c r="G202" s="111"/>
      <c r="H202" s="51"/>
      <c r="I202" s="84"/>
      <c r="J202" s="84"/>
    </row>
    <row r="203" spans="1:10" x14ac:dyDescent="0.2">
      <c r="A203" s="16" t="s">
        <v>20</v>
      </c>
      <c r="B203" s="17" t="s">
        <v>17</v>
      </c>
      <c r="C203" s="93">
        <f>C199</f>
        <v>5800</v>
      </c>
      <c r="D203" s="264">
        <f>+C202*D202/1000</f>
        <v>1.0862999999999999E-2</v>
      </c>
      <c r="E203" s="18">
        <f>C203*D203</f>
        <v>63.005399999999995</v>
      </c>
      <c r="G203" s="111"/>
      <c r="H203" s="51"/>
      <c r="I203" s="84"/>
      <c r="J203" s="84"/>
    </row>
    <row r="204" spans="1:10" x14ac:dyDescent="0.2">
      <c r="A204" s="16" t="s">
        <v>243</v>
      </c>
      <c r="B204" s="17" t="s">
        <v>18</v>
      </c>
      <c r="C204" s="99">
        <v>5</v>
      </c>
      <c r="D204" s="88">
        <v>9.33</v>
      </c>
      <c r="E204" s="18"/>
      <c r="G204" s="111"/>
      <c r="H204" s="51"/>
      <c r="I204" s="84"/>
      <c r="J204" s="84"/>
    </row>
    <row r="205" spans="1:10" x14ac:dyDescent="0.2">
      <c r="A205" s="16" t="s">
        <v>21</v>
      </c>
      <c r="B205" s="17" t="s">
        <v>17</v>
      </c>
      <c r="C205" s="93">
        <f>C199</f>
        <v>5800</v>
      </c>
      <c r="D205" s="264">
        <f>+C204*D204/1000</f>
        <v>4.6649999999999997E-2</v>
      </c>
      <c r="E205" s="18">
        <f>C205*D205</f>
        <v>270.57</v>
      </c>
      <c r="G205" s="111"/>
      <c r="H205" s="51"/>
      <c r="I205" s="84"/>
      <c r="J205" s="84"/>
    </row>
    <row r="206" spans="1:10" x14ac:dyDescent="0.2">
      <c r="A206" s="16" t="s">
        <v>22</v>
      </c>
      <c r="B206" s="17" t="s">
        <v>23</v>
      </c>
      <c r="C206" s="99">
        <v>2</v>
      </c>
      <c r="D206" s="88">
        <v>18</v>
      </c>
      <c r="E206" s="18"/>
      <c r="G206" s="111"/>
      <c r="H206" s="51"/>
      <c r="I206" s="84"/>
      <c r="J206" s="84"/>
    </row>
    <row r="207" spans="1:10" x14ac:dyDescent="0.2">
      <c r="A207" s="16" t="s">
        <v>24</v>
      </c>
      <c r="B207" s="17" t="s">
        <v>17</v>
      </c>
      <c r="C207" s="93">
        <f>C199</f>
        <v>5800</v>
      </c>
      <c r="D207" s="264">
        <f>+C206*D206/1000</f>
        <v>3.5999999999999997E-2</v>
      </c>
      <c r="E207" s="18">
        <f>C207*D207</f>
        <v>208.79999999999998</v>
      </c>
      <c r="G207" s="111"/>
      <c r="H207" s="51"/>
      <c r="I207" s="84"/>
      <c r="J207" s="84"/>
    </row>
    <row r="208" spans="1:10" ht="13.5" thickBot="1" x14ac:dyDescent="0.25">
      <c r="A208" s="102" t="s">
        <v>259</v>
      </c>
      <c r="B208" s="103" t="s">
        <v>123</v>
      </c>
      <c r="C208" s="265"/>
      <c r="D208" s="266">
        <f>IFERROR(D199+D201+D203+D205+D207,0)</f>
        <v>2.0201352222222222</v>
      </c>
      <c r="E208" s="18"/>
      <c r="G208" s="111"/>
      <c r="H208" s="51"/>
      <c r="I208" s="84"/>
      <c r="J208" s="84"/>
    </row>
    <row r="209" spans="1:10" ht="13.5" thickBot="1" x14ac:dyDescent="0.25">
      <c r="F209" s="21">
        <f>SUM(E198:E207)</f>
        <v>11716.784288888888</v>
      </c>
      <c r="I209" s="84"/>
      <c r="J209" s="84"/>
    </row>
    <row r="210" spans="1:10" ht="11.25" customHeight="1" x14ac:dyDescent="0.2">
      <c r="I210" s="84"/>
      <c r="J210" s="84"/>
    </row>
    <row r="211" spans="1:10" ht="13.5" thickBot="1" x14ac:dyDescent="0.25">
      <c r="A211" s="9" t="s">
        <v>50</v>
      </c>
      <c r="I211" s="84"/>
      <c r="J211" s="84"/>
    </row>
    <row r="212" spans="1:10" ht="13.5" thickBot="1" x14ac:dyDescent="0.25">
      <c r="A212" s="59" t="s">
        <v>61</v>
      </c>
      <c r="B212" s="60" t="s">
        <v>62</v>
      </c>
      <c r="C212" s="60" t="s">
        <v>37</v>
      </c>
      <c r="D212" s="61" t="s">
        <v>240</v>
      </c>
      <c r="E212" s="61" t="s">
        <v>63</v>
      </c>
      <c r="F212" s="62" t="s">
        <v>64</v>
      </c>
      <c r="I212" s="84"/>
      <c r="J212" s="84"/>
    </row>
    <row r="213" spans="1:10" ht="13.5" thickBot="1" x14ac:dyDescent="0.25">
      <c r="A213" s="13" t="s">
        <v>121</v>
      </c>
      <c r="B213" s="14" t="s">
        <v>123</v>
      </c>
      <c r="C213" s="93">
        <f>C199</f>
        <v>5800</v>
      </c>
      <c r="D213" s="86">
        <v>0.75</v>
      </c>
      <c r="E213" s="15">
        <f>C213*D213</f>
        <v>4350</v>
      </c>
      <c r="I213" s="84"/>
      <c r="J213" s="84"/>
    </row>
    <row r="214" spans="1:10" ht="13.5" thickBot="1" x14ac:dyDescent="0.25">
      <c r="F214" s="21">
        <f>E213</f>
        <v>4350</v>
      </c>
      <c r="I214" s="84"/>
      <c r="J214" s="84"/>
    </row>
    <row r="215" spans="1:10" ht="11.25" customHeight="1" x14ac:dyDescent="0.2">
      <c r="I215" s="84"/>
      <c r="J215" s="84"/>
    </row>
    <row r="216" spans="1:10" ht="13.5" thickBot="1" x14ac:dyDescent="0.25">
      <c r="A216" s="9" t="s">
        <v>59</v>
      </c>
      <c r="I216" s="84"/>
      <c r="J216" s="84"/>
    </row>
    <row r="217" spans="1:10" ht="13.5" thickBot="1" x14ac:dyDescent="0.25">
      <c r="A217" s="59" t="s">
        <v>61</v>
      </c>
      <c r="B217" s="60" t="s">
        <v>62</v>
      </c>
      <c r="C217" s="60" t="s">
        <v>37</v>
      </c>
      <c r="D217" s="61" t="s">
        <v>240</v>
      </c>
      <c r="E217" s="61" t="s">
        <v>63</v>
      </c>
      <c r="F217" s="62" t="s">
        <v>64</v>
      </c>
      <c r="I217" s="84"/>
      <c r="J217" s="84"/>
    </row>
    <row r="218" spans="1:10" x14ac:dyDescent="0.2">
      <c r="A218" s="299" t="s">
        <v>301</v>
      </c>
      <c r="B218" s="14" t="s">
        <v>9</v>
      </c>
      <c r="C218" s="95">
        <v>10</v>
      </c>
      <c r="D218" s="86">
        <v>1400</v>
      </c>
      <c r="E218" s="15">
        <f>C218*D218</f>
        <v>14000</v>
      </c>
      <c r="I218" s="84"/>
      <c r="J218" s="84"/>
    </row>
    <row r="219" spans="1:10" x14ac:dyDescent="0.2">
      <c r="A219" s="13" t="s">
        <v>124</v>
      </c>
      <c r="B219" s="14" t="s">
        <v>9</v>
      </c>
      <c r="C219" s="95">
        <v>0</v>
      </c>
      <c r="D219" s="105"/>
      <c r="E219" s="15"/>
      <c r="I219" s="84"/>
      <c r="J219" s="84"/>
    </row>
    <row r="220" spans="1:10" x14ac:dyDescent="0.2">
      <c r="A220" s="13" t="s">
        <v>68</v>
      </c>
      <c r="B220" s="14" t="s">
        <v>9</v>
      </c>
      <c r="C220" s="15">
        <f>C218*C219</f>
        <v>0</v>
      </c>
      <c r="D220" s="86"/>
      <c r="E220" s="15">
        <f>C220*D220</f>
        <v>0</v>
      </c>
      <c r="I220" s="84"/>
      <c r="J220" s="84"/>
    </row>
    <row r="221" spans="1:10" x14ac:dyDescent="0.2">
      <c r="A221" s="16" t="s">
        <v>95</v>
      </c>
      <c r="B221" s="17" t="s">
        <v>25</v>
      </c>
      <c r="C221" s="98">
        <v>60000</v>
      </c>
      <c r="D221" s="18">
        <f>E218+E220</f>
        <v>14000</v>
      </c>
      <c r="E221" s="18">
        <f>IFERROR(D221/C221,"-")</f>
        <v>0.23333333333333334</v>
      </c>
      <c r="I221" s="84"/>
      <c r="J221" s="84"/>
    </row>
    <row r="222" spans="1:10" ht="13.5" thickBot="1" x14ac:dyDescent="0.25">
      <c r="A222" s="16" t="s">
        <v>52</v>
      </c>
      <c r="B222" s="17" t="s">
        <v>17</v>
      </c>
      <c r="C222" s="93">
        <f>B195</f>
        <v>5800</v>
      </c>
      <c r="D222" s="18">
        <f>E221</f>
        <v>0.23333333333333334</v>
      </c>
      <c r="E222" s="18">
        <f>IFERROR(C222*D222,0)</f>
        <v>1353.3333333333333</v>
      </c>
      <c r="I222" s="84"/>
      <c r="J222" s="84"/>
    </row>
    <row r="223" spans="1:10" ht="13.5" thickBot="1" x14ac:dyDescent="0.25">
      <c r="F223" s="21">
        <f>E222</f>
        <v>1353.3333333333333</v>
      </c>
      <c r="I223" s="84"/>
      <c r="J223" s="84"/>
    </row>
    <row r="224" spans="1:10" ht="11.25" customHeight="1" x14ac:dyDescent="0.2">
      <c r="I224" s="84"/>
      <c r="J224" s="84"/>
    </row>
    <row r="225" spans="1:7" ht="11.25" customHeight="1" thickBot="1" x14ac:dyDescent="0.25">
      <c r="G225" s="9"/>
    </row>
    <row r="226" spans="1:7" ht="13.5" thickBot="1" x14ac:dyDescent="0.25">
      <c r="A226" s="24" t="s">
        <v>228</v>
      </c>
      <c r="B226" s="25"/>
      <c r="C226" s="25"/>
      <c r="D226" s="26"/>
      <c r="E226" s="27"/>
      <c r="F226" s="21">
        <f>+SUM(F155:F225)</f>
        <v>22996.552815555551</v>
      </c>
      <c r="G226" s="9"/>
    </row>
    <row r="227" spans="1:7" ht="11.25" customHeight="1" x14ac:dyDescent="0.2">
      <c r="G227" s="9"/>
    </row>
    <row r="228" spans="1:7" x14ac:dyDescent="0.2">
      <c r="A228" s="34" t="s">
        <v>72</v>
      </c>
      <c r="B228" s="34"/>
      <c r="C228" s="34"/>
      <c r="D228" s="35"/>
      <c r="E228" s="35"/>
      <c r="F228" s="33"/>
      <c r="G228" s="9"/>
    </row>
    <row r="229" spans="1:7" ht="11.25" customHeight="1" thickBot="1" x14ac:dyDescent="0.25">
      <c r="G229" s="9"/>
    </row>
    <row r="230" spans="1:7" ht="13.5" thickBot="1" x14ac:dyDescent="0.25">
      <c r="A230" s="59" t="s">
        <v>61</v>
      </c>
      <c r="B230" s="60" t="s">
        <v>62</v>
      </c>
      <c r="C230" s="60" t="s">
        <v>37</v>
      </c>
      <c r="D230" s="61" t="s">
        <v>240</v>
      </c>
      <c r="E230" s="61" t="s">
        <v>63</v>
      </c>
      <c r="F230" s="62" t="s">
        <v>64</v>
      </c>
      <c r="G230" s="9"/>
    </row>
    <row r="231" spans="1:7" x14ac:dyDescent="0.2">
      <c r="A231" s="16" t="s">
        <v>69</v>
      </c>
      <c r="B231" s="17" t="s">
        <v>9</v>
      </c>
      <c r="C231" s="100">
        <v>0.33333333333333331</v>
      </c>
      <c r="D231" s="86">
        <v>35</v>
      </c>
      <c r="E231" s="18">
        <f>C231*D231</f>
        <v>11.666666666666666</v>
      </c>
      <c r="F231" s="54"/>
      <c r="G231" s="9"/>
    </row>
    <row r="232" spans="1:7" x14ac:dyDescent="0.2">
      <c r="A232" s="16" t="s">
        <v>26</v>
      </c>
      <c r="B232" s="17" t="s">
        <v>9</v>
      </c>
      <c r="C232" s="100">
        <v>0.33333333333333331</v>
      </c>
      <c r="D232" s="86">
        <v>20</v>
      </c>
      <c r="E232" s="18">
        <f>C232*D232</f>
        <v>6.6666666666666661</v>
      </c>
      <c r="F232" s="54"/>
      <c r="G232" s="9"/>
    </row>
    <row r="233" spans="1:7" x14ac:dyDescent="0.2">
      <c r="A233" s="16" t="s">
        <v>27</v>
      </c>
      <c r="B233" s="17" t="s">
        <v>9</v>
      </c>
      <c r="C233" s="100">
        <v>0.33333333333333331</v>
      </c>
      <c r="D233" s="86">
        <v>15</v>
      </c>
      <c r="E233" s="18">
        <f>C233*D233</f>
        <v>5</v>
      </c>
      <c r="F233" s="54"/>
      <c r="G233" s="9"/>
    </row>
    <row r="234" spans="1:7" x14ac:dyDescent="0.2">
      <c r="A234" s="16" t="s">
        <v>54</v>
      </c>
      <c r="B234" s="17" t="s">
        <v>55</v>
      </c>
      <c r="C234" s="100">
        <v>0.16666666666666666</v>
      </c>
      <c r="D234" s="86">
        <v>30</v>
      </c>
      <c r="E234" s="18">
        <f>C234*D234</f>
        <v>5</v>
      </c>
      <c r="F234" s="54"/>
      <c r="G234" s="9"/>
    </row>
    <row r="235" spans="1:7" ht="13.5" thickBot="1" x14ac:dyDescent="0.25">
      <c r="A235" s="16" t="s">
        <v>57</v>
      </c>
      <c r="B235" s="17" t="s">
        <v>55</v>
      </c>
      <c r="C235" s="100">
        <v>0.16666666666666666</v>
      </c>
      <c r="D235" s="86">
        <v>30</v>
      </c>
      <c r="E235" s="18">
        <f>C235*D235</f>
        <v>5</v>
      </c>
      <c r="F235" s="54"/>
      <c r="G235" s="9"/>
    </row>
    <row r="236" spans="1:7" ht="13.5" thickBot="1" x14ac:dyDescent="0.25">
      <c r="A236" s="34"/>
      <c r="B236" s="34"/>
      <c r="C236" s="34"/>
      <c r="D236" s="34"/>
      <c r="E236" s="35"/>
      <c r="F236" s="21">
        <f>SUM(E231:E235)</f>
        <v>33.333333333333329</v>
      </c>
      <c r="G236" s="9"/>
    </row>
    <row r="237" spans="1:7" ht="11.25" customHeight="1" thickBot="1" x14ac:dyDescent="0.25">
      <c r="G237" s="9"/>
    </row>
    <row r="238" spans="1:7" ht="13.5" thickBot="1" x14ac:dyDescent="0.25">
      <c r="A238" s="24" t="s">
        <v>229</v>
      </c>
      <c r="B238" s="25"/>
      <c r="C238" s="25"/>
      <c r="D238" s="26"/>
      <c r="E238" s="27"/>
      <c r="F238" s="21">
        <f>+F236</f>
        <v>33.333333333333329</v>
      </c>
      <c r="G238" s="9"/>
    </row>
    <row r="239" spans="1:7" ht="11.25" customHeight="1" x14ac:dyDescent="0.2">
      <c r="G239" s="9"/>
    </row>
    <row r="240" spans="1:7" x14ac:dyDescent="0.2">
      <c r="A240" s="34" t="s">
        <v>73</v>
      </c>
      <c r="B240" s="34"/>
      <c r="C240" s="34"/>
      <c r="D240" s="35"/>
      <c r="E240" s="35"/>
      <c r="F240" s="33"/>
    </row>
    <row r="241" spans="1:7" ht="11.25" customHeight="1" thickBot="1" x14ac:dyDescent="0.25"/>
    <row r="242" spans="1:7" ht="13.5" thickBot="1" x14ac:dyDescent="0.25">
      <c r="A242" s="59" t="s">
        <v>61</v>
      </c>
      <c r="B242" s="60" t="s">
        <v>62</v>
      </c>
      <c r="C242" s="60" t="s">
        <v>37</v>
      </c>
      <c r="D242" s="61" t="s">
        <v>240</v>
      </c>
      <c r="E242" s="61" t="s">
        <v>63</v>
      </c>
      <c r="F242" s="62" t="s">
        <v>64</v>
      </c>
    </row>
    <row r="243" spans="1:7" x14ac:dyDescent="0.2">
      <c r="A243" s="16" t="s">
        <v>226</v>
      </c>
      <c r="B243" s="52" t="s">
        <v>55</v>
      </c>
      <c r="C243" s="68">
        <f>C155</f>
        <v>1</v>
      </c>
      <c r="D243" s="88">
        <v>70</v>
      </c>
      <c r="E243" s="18">
        <f>+D243*C243</f>
        <v>70</v>
      </c>
      <c r="F243" s="54"/>
    </row>
    <row r="244" spans="1:7" x14ac:dyDescent="0.2">
      <c r="A244" s="16" t="s">
        <v>58</v>
      </c>
      <c r="B244" s="52" t="s">
        <v>7</v>
      </c>
      <c r="C244" s="154">
        <v>60</v>
      </c>
      <c r="D244" s="79">
        <f>SUM(E243:E243)</f>
        <v>70</v>
      </c>
      <c r="E244" s="79">
        <f>+D244/C244</f>
        <v>1.1666666666666667</v>
      </c>
      <c r="F244" s="54"/>
    </row>
    <row r="245" spans="1:7" x14ac:dyDescent="0.2">
      <c r="A245" s="16" t="s">
        <v>227</v>
      </c>
      <c r="B245" s="17" t="s">
        <v>9</v>
      </c>
      <c r="C245" s="68">
        <f>+C243</f>
        <v>1</v>
      </c>
      <c r="D245" s="88">
        <v>80</v>
      </c>
      <c r="E245" s="18">
        <f>C245*D245</f>
        <v>80</v>
      </c>
      <c r="F245" s="54"/>
    </row>
    <row r="246" spans="1:7" ht="13.5" thickBot="1" x14ac:dyDescent="0.25">
      <c r="A246" s="16" t="s">
        <v>34</v>
      </c>
      <c r="B246" s="52" t="s">
        <v>7</v>
      </c>
      <c r="C246" s="154">
        <v>1</v>
      </c>
      <c r="D246" s="79">
        <f>+E245</f>
        <v>80</v>
      </c>
      <c r="E246" s="79">
        <f>+D246/C246</f>
        <v>80</v>
      </c>
      <c r="F246" s="54"/>
    </row>
    <row r="247" spans="1:7" ht="13.5" thickBot="1" x14ac:dyDescent="0.25">
      <c r="A247" s="80"/>
      <c r="B247" s="80"/>
      <c r="C247" s="80"/>
      <c r="D247" s="123" t="s">
        <v>198</v>
      </c>
      <c r="E247" s="49">
        <f>$B$41</f>
        <v>1</v>
      </c>
      <c r="F247" s="81">
        <f>(E244+E246)*E247</f>
        <v>81.166666666666671</v>
      </c>
    </row>
    <row r="248" spans="1:7" s="50" customFormat="1" ht="11.25" customHeight="1" thickBot="1" x14ac:dyDescent="0.25">
      <c r="A248" s="9"/>
      <c r="B248" s="9"/>
      <c r="C248" s="9"/>
      <c r="D248" s="10"/>
      <c r="E248" s="10"/>
      <c r="F248" s="10"/>
      <c r="G248" s="83"/>
    </row>
    <row r="249" spans="1:7" ht="13.5" thickBot="1" x14ac:dyDescent="0.25">
      <c r="A249" s="24" t="s">
        <v>225</v>
      </c>
      <c r="B249" s="25"/>
      <c r="C249" s="25"/>
      <c r="D249" s="26"/>
      <c r="E249" s="27"/>
      <c r="F249" s="21">
        <f>+F247</f>
        <v>81.166666666666671</v>
      </c>
    </row>
    <row r="250" spans="1:7" ht="11.25" customHeight="1" thickBot="1" x14ac:dyDescent="0.25"/>
    <row r="251" spans="1:7" ht="17.25" customHeight="1" thickBot="1" x14ac:dyDescent="0.25">
      <c r="A251" s="24" t="s">
        <v>230</v>
      </c>
      <c r="B251" s="28"/>
      <c r="C251" s="28"/>
      <c r="D251" s="29"/>
      <c r="E251" s="30"/>
      <c r="F251" s="22">
        <f>+F113+F147+F226+F238+F249</f>
        <v>47942.657525362913</v>
      </c>
    </row>
    <row r="252" spans="1:7" ht="11.25" customHeight="1" x14ac:dyDescent="0.2"/>
    <row r="253" spans="1:7" x14ac:dyDescent="0.2">
      <c r="A253" s="11" t="s">
        <v>88</v>
      </c>
    </row>
    <row r="254" spans="1:7" ht="11.25" customHeight="1" thickBot="1" x14ac:dyDescent="0.25"/>
    <row r="255" spans="1:7" ht="13.5" thickBot="1" x14ac:dyDescent="0.25">
      <c r="A255" s="59" t="s">
        <v>61</v>
      </c>
      <c r="B255" s="60" t="s">
        <v>62</v>
      </c>
      <c r="C255" s="60" t="s">
        <v>37</v>
      </c>
      <c r="D255" s="61" t="s">
        <v>240</v>
      </c>
      <c r="E255" s="61" t="s">
        <v>63</v>
      </c>
      <c r="F255" s="62" t="s">
        <v>64</v>
      </c>
    </row>
    <row r="256" spans="1:7" ht="13.5" thickBot="1" x14ac:dyDescent="0.25">
      <c r="A256" s="13" t="s">
        <v>33</v>
      </c>
      <c r="B256" s="14" t="s">
        <v>1</v>
      </c>
      <c r="C256" s="140">
        <f>'4.BDI'!C20*100</f>
        <v>27.73</v>
      </c>
      <c r="D256" s="15">
        <f>+F251</f>
        <v>47942.657525362913</v>
      </c>
      <c r="E256" s="15">
        <f>C256*D256/100</f>
        <v>13294.498931783135</v>
      </c>
    </row>
    <row r="257" spans="1:6" ht="13.5" thickBot="1" x14ac:dyDescent="0.25">
      <c r="F257" s="21">
        <f>+E256</f>
        <v>13294.498931783135</v>
      </c>
    </row>
    <row r="258" spans="1:6" ht="11.25" customHeight="1" thickBot="1" x14ac:dyDescent="0.25"/>
    <row r="259" spans="1:6" ht="13.5" thickBot="1" x14ac:dyDescent="0.25">
      <c r="A259" s="24" t="s">
        <v>245</v>
      </c>
      <c r="B259" s="28"/>
      <c r="C259" s="28"/>
      <c r="D259" s="29"/>
      <c r="E259" s="30"/>
      <c r="F259" s="22">
        <f>F257</f>
        <v>13294.498931783135</v>
      </c>
    </row>
    <row r="260" spans="1:6" x14ac:dyDescent="0.2">
      <c r="A260" s="34"/>
      <c r="B260" s="34"/>
      <c r="C260" s="34"/>
      <c r="D260" s="35"/>
      <c r="E260" s="35"/>
      <c r="F260" s="33"/>
    </row>
    <row r="261" spans="1:6" x14ac:dyDescent="0.2">
      <c r="A261" s="34"/>
      <c r="B261" s="34"/>
      <c r="C261" s="34"/>
      <c r="D261" s="35"/>
      <c r="E261" s="35"/>
      <c r="F261" s="33"/>
    </row>
    <row r="262" spans="1:6" ht="11.25" customHeight="1" thickBot="1" x14ac:dyDescent="0.25"/>
    <row r="263" spans="1:6" ht="24.75" customHeight="1" thickBot="1" x14ac:dyDescent="0.25">
      <c r="A263" s="24" t="s">
        <v>231</v>
      </c>
      <c r="B263" s="28"/>
      <c r="C263" s="28"/>
      <c r="D263" s="29"/>
      <c r="E263" s="30"/>
      <c r="F263" s="22">
        <f>F251+F259</f>
        <v>61237.156457146048</v>
      </c>
    </row>
    <row r="264" spans="1:6" ht="12.6" customHeight="1" x14ac:dyDescent="0.2">
      <c r="A264" s="55"/>
      <c r="B264" s="55"/>
      <c r="C264" s="55"/>
      <c r="D264" s="56"/>
      <c r="E264" s="56"/>
      <c r="F264" s="56"/>
    </row>
    <row r="265" spans="1:6" ht="12.6" customHeight="1" x14ac:dyDescent="0.2">
      <c r="A265" s="55" t="s">
        <v>304</v>
      </c>
      <c r="B265" s="55"/>
      <c r="C265" s="55"/>
      <c r="D265" s="56"/>
      <c r="E265" s="56"/>
      <c r="F265" s="56"/>
    </row>
    <row r="266" spans="1:6" ht="15.75" x14ac:dyDescent="0.2">
      <c r="A266" s="307" t="s">
        <v>305</v>
      </c>
      <c r="B266" s="55"/>
      <c r="C266" s="55"/>
      <c r="D266" s="56"/>
      <c r="E266" s="56"/>
      <c r="F266" s="56"/>
    </row>
    <row r="267" spans="1:6" ht="24.75" customHeight="1" x14ac:dyDescent="0.2">
      <c r="A267" s="325" t="s">
        <v>306</v>
      </c>
      <c r="B267" s="325"/>
      <c r="C267" s="325"/>
      <c r="D267" s="325"/>
      <c r="E267" s="325"/>
      <c r="F267" s="325"/>
    </row>
    <row r="268" spans="1:6" ht="54.75" customHeight="1" x14ac:dyDescent="0.2">
      <c r="A268" s="326" t="s">
        <v>316</v>
      </c>
      <c r="B268" s="326"/>
      <c r="C268" s="326"/>
      <c r="D268" s="326"/>
      <c r="E268" s="326"/>
      <c r="F268" s="326"/>
    </row>
    <row r="269" spans="1:6" ht="24" customHeight="1" x14ac:dyDescent="0.2">
      <c r="A269" s="327" t="s">
        <v>307</v>
      </c>
      <c r="B269" s="327"/>
      <c r="C269" s="327"/>
      <c r="D269" s="327"/>
      <c r="E269" s="327"/>
      <c r="F269" s="327"/>
    </row>
    <row r="270" spans="1:6" ht="29.25" customHeight="1" x14ac:dyDescent="0.2">
      <c r="A270" s="328" t="s">
        <v>308</v>
      </c>
      <c r="B270" s="328"/>
      <c r="C270" s="328"/>
      <c r="D270" s="328"/>
      <c r="E270" s="328"/>
      <c r="F270" s="328"/>
    </row>
    <row r="271" spans="1:6" ht="23.25" customHeight="1" x14ac:dyDescent="0.2">
      <c r="A271" s="329" t="s">
        <v>309</v>
      </c>
      <c r="B271" s="329"/>
      <c r="C271" s="329"/>
      <c r="D271" s="329"/>
      <c r="E271" s="329"/>
      <c r="F271" s="329"/>
    </row>
    <row r="272" spans="1:6" ht="45.75" customHeight="1" x14ac:dyDescent="0.2">
      <c r="A272" s="331" t="s">
        <v>310</v>
      </c>
      <c r="B272" s="331"/>
      <c r="C272" s="331"/>
      <c r="D272" s="331"/>
      <c r="E272" s="331"/>
      <c r="F272" s="331"/>
    </row>
    <row r="273" spans="1:6" ht="44.25" customHeight="1" x14ac:dyDescent="0.2">
      <c r="A273" s="327" t="s">
        <v>315</v>
      </c>
      <c r="B273" s="327"/>
      <c r="C273" s="327"/>
      <c r="D273" s="327"/>
      <c r="E273" s="327"/>
      <c r="F273" s="327"/>
    </row>
    <row r="274" spans="1:6" ht="29.25" customHeight="1" x14ac:dyDescent="0.2">
      <c r="A274" s="329" t="s">
        <v>311</v>
      </c>
      <c r="B274" s="329"/>
      <c r="C274" s="329"/>
      <c r="D274" s="329"/>
      <c r="E274" s="329"/>
      <c r="F274" s="329"/>
    </row>
    <row r="275" spans="1:6" ht="32.25" customHeight="1" x14ac:dyDescent="0.2">
      <c r="A275" s="328" t="s">
        <v>312</v>
      </c>
      <c r="B275" s="328"/>
      <c r="C275" s="328"/>
      <c r="D275" s="328"/>
      <c r="E275" s="328"/>
      <c r="F275" s="328"/>
    </row>
    <row r="276" spans="1:6" ht="32.25" customHeight="1" x14ac:dyDescent="0.2">
      <c r="A276" s="328" t="s">
        <v>313</v>
      </c>
      <c r="B276" s="328"/>
      <c r="C276" s="328"/>
      <c r="D276" s="328"/>
      <c r="E276" s="328"/>
      <c r="F276" s="328"/>
    </row>
    <row r="277" spans="1:6" ht="42.75" customHeight="1" x14ac:dyDescent="0.2">
      <c r="A277" s="330" t="s">
        <v>314</v>
      </c>
      <c r="B277" s="330"/>
      <c r="C277" s="330"/>
      <c r="D277" s="330"/>
      <c r="E277" s="330"/>
      <c r="F277" s="330"/>
    </row>
    <row r="307" spans="4:7" ht="9" customHeight="1" x14ac:dyDescent="0.2">
      <c r="D307" s="9"/>
      <c r="E307" s="9"/>
      <c r="F307" s="9"/>
      <c r="G307" s="9"/>
    </row>
  </sheetData>
  <mergeCells count="18">
    <mergeCell ref="A277:F277"/>
    <mergeCell ref="A272:F272"/>
    <mergeCell ref="A273:F273"/>
    <mergeCell ref="A274:F274"/>
    <mergeCell ref="A275:F275"/>
    <mergeCell ref="A276:F276"/>
    <mergeCell ref="A267:F267"/>
    <mergeCell ref="A268:F268"/>
    <mergeCell ref="A269:F269"/>
    <mergeCell ref="A270:F270"/>
    <mergeCell ref="A271:F271"/>
    <mergeCell ref="A37:D37"/>
    <mergeCell ref="A14:C14"/>
    <mergeCell ref="A1:F1"/>
    <mergeCell ref="A2:F2"/>
    <mergeCell ref="A30:D30"/>
    <mergeCell ref="A4:F4"/>
    <mergeCell ref="A29:E29"/>
  </mergeCells>
  <phoneticPr fontId="9" type="noConversion"/>
  <hyperlinks>
    <hyperlink ref="A169" location="AbaRemun" display="3.1.2. Remuneração do Capital"/>
    <hyperlink ref="A153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5" fitToHeight="0" orientation="portrait" r:id="rId1"/>
  <headerFooter alignWithMargins="0">
    <oddFooter>&amp;R&amp;P de &amp;N</oddFooter>
  </headerFooter>
  <rowBreaks count="5" manualBreakCount="5">
    <brk id="42" max="5" man="1"/>
    <brk id="92" max="5" man="1"/>
    <brk id="148" max="5" man="1"/>
    <brk id="192" max="5" man="1"/>
    <brk id="227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>
      <selection activeCell="D31" sqref="D31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57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206</v>
      </c>
    </row>
    <row r="2" spans="1:12" x14ac:dyDescent="0.2">
      <c r="A2" s="139" t="s">
        <v>252</v>
      </c>
    </row>
    <row r="3" spans="1:12" s="4" customFormat="1" ht="15.6" customHeight="1" x14ac:dyDescent="0.2">
      <c r="B3" s="138"/>
      <c r="C3" s="138"/>
      <c r="D3" s="138"/>
      <c r="E3" s="138"/>
      <c r="F3" s="138"/>
      <c r="G3" s="6"/>
    </row>
    <row r="4" spans="1:12" s="4" customFormat="1" ht="15.6" customHeight="1" x14ac:dyDescent="0.2">
      <c r="A4" s="296" t="s">
        <v>294</v>
      </c>
      <c r="B4" s="138"/>
      <c r="C4" s="138"/>
      <c r="D4" s="138"/>
      <c r="E4" s="138"/>
      <c r="F4" s="138"/>
      <c r="G4" s="6"/>
    </row>
    <row r="5" spans="1:12" s="4" customFormat="1" ht="16.5" customHeight="1" x14ac:dyDescent="0.2">
      <c r="A5" s="296" t="s">
        <v>291</v>
      </c>
      <c r="B5" s="5"/>
      <c r="C5" s="5"/>
      <c r="D5" s="6"/>
      <c r="E5" s="6"/>
      <c r="F5" s="6"/>
      <c r="G5" s="6"/>
    </row>
    <row r="6" spans="1:12" ht="13.5" thickBot="1" x14ac:dyDescent="0.25"/>
    <row r="7" spans="1:12" ht="18" x14ac:dyDescent="0.2">
      <c r="A7" s="332" t="s">
        <v>234</v>
      </c>
      <c r="B7" s="333"/>
      <c r="C7" s="334"/>
      <c r="D7" s="149"/>
      <c r="E7" s="149"/>
      <c r="F7" s="149"/>
    </row>
    <row r="8" spans="1:12" ht="14.25" x14ac:dyDescent="0.2">
      <c r="A8" s="168" t="s">
        <v>144</v>
      </c>
      <c r="B8" s="169" t="s">
        <v>145</v>
      </c>
      <c r="C8" s="170" t="s">
        <v>146</v>
      </c>
      <c r="D8" s="171"/>
    </row>
    <row r="9" spans="1:12" ht="14.25" x14ac:dyDescent="0.2">
      <c r="A9" s="168" t="s">
        <v>147</v>
      </c>
      <c r="B9" s="169" t="s">
        <v>38</v>
      </c>
      <c r="C9" s="172">
        <v>0.2</v>
      </c>
      <c r="D9" s="171"/>
      <c r="F9" s="157"/>
      <c r="G9" s="157"/>
      <c r="H9" s="157"/>
      <c r="I9" s="157"/>
      <c r="J9" s="157"/>
      <c r="K9" s="157"/>
      <c r="L9" s="157"/>
    </row>
    <row r="10" spans="1:12" ht="14.25" x14ac:dyDescent="0.2">
      <c r="A10" s="168" t="s">
        <v>148</v>
      </c>
      <c r="B10" s="169" t="s">
        <v>149</v>
      </c>
      <c r="C10" s="172">
        <v>1.4999999999999999E-2</v>
      </c>
      <c r="D10" s="171"/>
      <c r="F10" s="157"/>
      <c r="G10" s="157"/>
      <c r="H10" s="157"/>
      <c r="I10" s="157"/>
      <c r="J10" s="157"/>
      <c r="K10" s="157"/>
      <c r="L10" s="157"/>
    </row>
    <row r="11" spans="1:12" ht="14.25" x14ac:dyDescent="0.2">
      <c r="A11" s="168" t="s">
        <v>150</v>
      </c>
      <c r="B11" s="169" t="s">
        <v>151</v>
      </c>
      <c r="C11" s="172">
        <v>0.01</v>
      </c>
      <c r="D11" s="171"/>
      <c r="F11" s="157"/>
      <c r="G11" s="157"/>
      <c r="H11" s="157"/>
      <c r="I11" s="157"/>
      <c r="J11" s="157"/>
      <c r="K11" s="157"/>
      <c r="L11" s="157"/>
    </row>
    <row r="12" spans="1:12" ht="14.25" x14ac:dyDescent="0.2">
      <c r="A12" s="168" t="s">
        <v>152</v>
      </c>
      <c r="B12" s="169" t="s">
        <v>153</v>
      </c>
      <c r="C12" s="172">
        <v>2E-3</v>
      </c>
      <c r="D12" s="171"/>
      <c r="F12" s="157"/>
      <c r="G12" s="157"/>
      <c r="H12" s="157"/>
      <c r="I12" s="157"/>
      <c r="J12" s="157"/>
      <c r="K12" s="157"/>
      <c r="L12" s="157"/>
    </row>
    <row r="13" spans="1:12" ht="14.25" x14ac:dyDescent="0.2">
      <c r="A13" s="168" t="s">
        <v>154</v>
      </c>
      <c r="B13" s="169" t="s">
        <v>155</v>
      </c>
      <c r="C13" s="172">
        <v>6.0000000000000001E-3</v>
      </c>
      <c r="D13" s="171"/>
      <c r="F13" s="157"/>
      <c r="G13" s="157"/>
      <c r="H13" s="157"/>
      <c r="I13" s="157"/>
      <c r="J13" s="157"/>
      <c r="K13" s="157"/>
      <c r="L13" s="157"/>
    </row>
    <row r="14" spans="1:12" ht="14.25" x14ac:dyDescent="0.2">
      <c r="A14" s="168" t="s">
        <v>156</v>
      </c>
      <c r="B14" s="169" t="s">
        <v>157</v>
      </c>
      <c r="C14" s="172">
        <v>2.5000000000000001E-2</v>
      </c>
      <c r="D14" s="171"/>
      <c r="F14" s="157"/>
      <c r="G14" s="157"/>
      <c r="H14" s="157"/>
      <c r="I14" s="157"/>
      <c r="J14" s="157"/>
      <c r="K14" s="157"/>
      <c r="L14" s="157"/>
    </row>
    <row r="15" spans="1:12" ht="14.25" x14ac:dyDescent="0.2">
      <c r="A15" s="168" t="s">
        <v>158</v>
      </c>
      <c r="B15" s="169" t="s">
        <v>159</v>
      </c>
      <c r="C15" s="172">
        <v>0.03</v>
      </c>
      <c r="D15" s="171"/>
      <c r="F15" s="157"/>
      <c r="G15" s="157"/>
      <c r="H15" s="157"/>
      <c r="I15" s="157"/>
      <c r="J15" s="157"/>
      <c r="K15" s="157"/>
      <c r="L15" s="157"/>
    </row>
    <row r="16" spans="1:12" ht="14.25" x14ac:dyDescent="0.2">
      <c r="A16" s="168" t="s">
        <v>160</v>
      </c>
      <c r="B16" s="169" t="s">
        <v>39</v>
      </c>
      <c r="C16" s="172">
        <v>0.08</v>
      </c>
      <c r="D16" s="173"/>
      <c r="F16" s="157"/>
      <c r="G16" s="157"/>
      <c r="H16" s="157"/>
      <c r="I16" s="157"/>
      <c r="J16" s="157"/>
      <c r="K16" s="157"/>
      <c r="L16" s="157"/>
    </row>
    <row r="17" spans="1:12" ht="15" x14ac:dyDescent="0.2">
      <c r="A17" s="168" t="s">
        <v>161</v>
      </c>
      <c r="B17" s="174" t="s">
        <v>162</v>
      </c>
      <c r="C17" s="175">
        <f>SUM(C9:C16)</f>
        <v>0.36800000000000005</v>
      </c>
      <c r="D17" s="173"/>
      <c r="F17" s="157"/>
      <c r="G17" s="157"/>
      <c r="H17" s="157"/>
      <c r="I17" s="157"/>
      <c r="J17" s="157"/>
      <c r="K17" s="157"/>
      <c r="L17" s="157"/>
    </row>
    <row r="18" spans="1:12" ht="15" x14ac:dyDescent="0.2">
      <c r="A18" s="176"/>
      <c r="B18" s="177"/>
      <c r="C18" s="178"/>
      <c r="D18" s="173"/>
      <c r="F18" s="157"/>
      <c r="G18" s="157"/>
      <c r="H18" s="157"/>
      <c r="I18" s="157"/>
      <c r="J18" s="157"/>
      <c r="K18" s="157"/>
      <c r="L18" s="157"/>
    </row>
    <row r="19" spans="1:12" ht="14.25" x14ac:dyDescent="0.2">
      <c r="A19" s="168" t="s">
        <v>163</v>
      </c>
      <c r="B19" s="179" t="s">
        <v>164</v>
      </c>
      <c r="C19" s="172">
        <f>ROUND(IF('3.CAGED'!C32&gt;24,(1-12/'3.CAGED'!C32)*0.1111,0.1111-C28),4)</f>
        <v>5.67E-2</v>
      </c>
      <c r="D19" s="173"/>
      <c r="F19" s="157"/>
      <c r="G19" s="157"/>
      <c r="H19" s="157"/>
      <c r="I19" s="157"/>
      <c r="J19" s="157"/>
      <c r="K19" s="157"/>
      <c r="L19" s="157"/>
    </row>
    <row r="20" spans="1:12" ht="14.25" x14ac:dyDescent="0.2">
      <c r="A20" s="168" t="s">
        <v>165</v>
      </c>
      <c r="B20" s="179" t="s">
        <v>166</v>
      </c>
      <c r="C20" s="172">
        <f>ROUND('3.CAGED'!C36/'3.CAGED'!C33,4)</f>
        <v>8.3299999999999999E-2</v>
      </c>
      <c r="D20" s="173"/>
      <c r="F20" s="157"/>
      <c r="G20" s="157"/>
      <c r="H20" s="157"/>
      <c r="I20" s="157"/>
      <c r="J20" s="157"/>
      <c r="K20" s="157"/>
      <c r="L20" s="157"/>
    </row>
    <row r="21" spans="1:12" ht="14.25" x14ac:dyDescent="0.2">
      <c r="A21" s="168" t="s">
        <v>223</v>
      </c>
      <c r="B21" s="179" t="s">
        <v>168</v>
      </c>
      <c r="C21" s="172">
        <v>5.9999999999999995E-4</v>
      </c>
      <c r="D21" s="173"/>
      <c r="F21" s="157"/>
      <c r="G21" s="157"/>
      <c r="H21" s="157"/>
      <c r="I21" s="157"/>
      <c r="J21" s="157"/>
      <c r="K21" s="157"/>
      <c r="L21" s="157"/>
    </row>
    <row r="22" spans="1:12" ht="14.25" x14ac:dyDescent="0.2">
      <c r="A22" s="168" t="s">
        <v>167</v>
      </c>
      <c r="B22" s="179" t="s">
        <v>170</v>
      </c>
      <c r="C22" s="172">
        <v>8.2000000000000007E-3</v>
      </c>
      <c r="D22" s="173"/>
      <c r="F22" s="157"/>
      <c r="G22" s="157"/>
      <c r="H22" s="157"/>
      <c r="I22" s="157"/>
      <c r="J22" s="157"/>
      <c r="K22" s="157"/>
      <c r="L22" s="157"/>
    </row>
    <row r="23" spans="1:12" ht="14.25" x14ac:dyDescent="0.2">
      <c r="A23" s="168" t="s">
        <v>169</v>
      </c>
      <c r="B23" s="179" t="s">
        <v>172</v>
      </c>
      <c r="C23" s="172">
        <v>3.0999999999999999E-3</v>
      </c>
      <c r="D23" s="173"/>
      <c r="F23" s="157"/>
      <c r="G23" s="157"/>
      <c r="H23" s="157"/>
      <c r="I23" s="157"/>
      <c r="J23" s="157"/>
      <c r="K23" s="157"/>
      <c r="L23" s="157"/>
    </row>
    <row r="24" spans="1:12" ht="14.25" x14ac:dyDescent="0.2">
      <c r="A24" s="168" t="s">
        <v>171</v>
      </c>
      <c r="B24" s="179" t="s">
        <v>173</v>
      </c>
      <c r="C24" s="172">
        <v>1.66E-2</v>
      </c>
      <c r="D24" s="173"/>
      <c r="F24" s="157"/>
      <c r="G24" s="157"/>
      <c r="H24" s="157"/>
      <c r="I24" s="157"/>
      <c r="J24" s="157"/>
      <c r="K24" s="157"/>
      <c r="L24" s="157"/>
    </row>
    <row r="25" spans="1:12" ht="15" x14ac:dyDescent="0.2">
      <c r="A25" s="168" t="s">
        <v>174</v>
      </c>
      <c r="B25" s="174" t="s">
        <v>175</v>
      </c>
      <c r="C25" s="175">
        <f>SUM(C19:C24)</f>
        <v>0.16850000000000001</v>
      </c>
      <c r="D25" s="180"/>
      <c r="F25" s="157"/>
      <c r="G25" s="157"/>
      <c r="H25" s="157"/>
      <c r="I25" s="157"/>
      <c r="J25" s="157"/>
      <c r="K25" s="157"/>
      <c r="L25" s="157"/>
    </row>
    <row r="26" spans="1:12" ht="15" x14ac:dyDescent="0.2">
      <c r="A26" s="176"/>
      <c r="B26" s="177"/>
      <c r="C26" s="178"/>
      <c r="D26" s="180"/>
      <c r="F26" s="157"/>
      <c r="G26" s="157"/>
      <c r="H26" s="157"/>
      <c r="I26" s="157"/>
      <c r="J26" s="157"/>
      <c r="K26" s="157"/>
      <c r="L26" s="157"/>
    </row>
    <row r="27" spans="1:12" ht="14.25" x14ac:dyDescent="0.2">
      <c r="A27" s="168" t="s">
        <v>176</v>
      </c>
      <c r="B27" s="169" t="s">
        <v>177</v>
      </c>
      <c r="C27" s="172">
        <f>ROUND(('3.CAGED'!C37) *'3.CAGED'!C30/'3.CAGED'!C33,4)</f>
        <v>4.0800000000000003E-2</v>
      </c>
      <c r="D27" s="173"/>
      <c r="E27" s="181"/>
      <c r="F27" s="157"/>
      <c r="G27" s="157"/>
      <c r="H27" s="157"/>
      <c r="I27" s="157"/>
      <c r="J27" s="157"/>
      <c r="K27" s="157"/>
      <c r="L27" s="157"/>
    </row>
    <row r="28" spans="1:12" ht="14.25" x14ac:dyDescent="0.2">
      <c r="A28" s="168" t="s">
        <v>222</v>
      </c>
      <c r="B28" s="169" t="s">
        <v>179</v>
      </c>
      <c r="C28" s="172">
        <f>ROUND(IF('3.CAGED'!C32&gt;12,12/'3.CAGED'!C32*0.1111,0.1111),4)</f>
        <v>5.4399999999999997E-2</v>
      </c>
      <c r="D28" s="173"/>
      <c r="F28" s="157"/>
      <c r="G28" s="157"/>
      <c r="H28" s="182"/>
      <c r="I28" s="157"/>
      <c r="J28" s="157"/>
      <c r="K28" s="157"/>
      <c r="L28" s="157"/>
    </row>
    <row r="29" spans="1:12" ht="14.25" x14ac:dyDescent="0.2">
      <c r="A29" s="168" t="s">
        <v>178</v>
      </c>
      <c r="B29" s="169" t="s">
        <v>181</v>
      </c>
      <c r="C29" s="172">
        <f>C27*C28</f>
        <v>2.21952E-3</v>
      </c>
      <c r="D29" s="173"/>
      <c r="E29" s="181"/>
      <c r="F29" s="157"/>
      <c r="G29" s="157"/>
      <c r="H29" s="157"/>
      <c r="I29" s="157"/>
      <c r="J29" s="157"/>
      <c r="K29" s="157"/>
      <c r="L29" s="157"/>
    </row>
    <row r="30" spans="1:12" ht="14.25" x14ac:dyDescent="0.2">
      <c r="A30" s="168" t="s">
        <v>180</v>
      </c>
      <c r="B30" s="169" t="s">
        <v>183</v>
      </c>
      <c r="C30" s="172">
        <f>ROUND(('3.CAGED'!C33+'3.CAGED'!C34+'3.CAGED'!C36)/'3.CAGED'!C31*'3.CAGED'!C38*'3.CAGED'!C39*'3.CAGED'!C30/'3.CAGED'!C33,4)</f>
        <v>3.7100000000000001E-2</v>
      </c>
      <c r="D30" s="173"/>
      <c r="F30" s="157"/>
      <c r="G30" s="183"/>
      <c r="H30" s="157"/>
      <c r="I30" s="157"/>
      <c r="J30" s="157"/>
      <c r="K30" s="157"/>
      <c r="L30" s="157"/>
    </row>
    <row r="31" spans="1:12" ht="14.25" x14ac:dyDescent="0.2">
      <c r="A31" s="168" t="s">
        <v>182</v>
      </c>
      <c r="B31" s="169" t="s">
        <v>184</v>
      </c>
      <c r="C31" s="172">
        <f>ROUND(('3.CAGED'!C35/'3.CAGED'!C33)*'3.CAGED'!C30/12,4)</f>
        <v>2.8E-3</v>
      </c>
      <c r="D31" s="173"/>
      <c r="F31" s="157"/>
      <c r="G31" s="157"/>
      <c r="H31" s="157"/>
      <c r="I31" s="157"/>
      <c r="J31" s="157"/>
      <c r="K31" s="157"/>
      <c r="L31" s="157"/>
    </row>
    <row r="32" spans="1:12" ht="15" x14ac:dyDescent="0.2">
      <c r="A32" s="168" t="s">
        <v>185</v>
      </c>
      <c r="B32" s="174" t="s">
        <v>186</v>
      </c>
      <c r="C32" s="175">
        <f>SUM(C27:C31)</f>
        <v>0.13731952</v>
      </c>
      <c r="D32" s="180"/>
      <c r="F32" s="157"/>
      <c r="G32" s="157"/>
      <c r="H32" s="157"/>
      <c r="I32" s="157"/>
      <c r="J32" s="157"/>
      <c r="K32" s="157"/>
      <c r="L32" s="157"/>
    </row>
    <row r="33" spans="1:12" ht="15" x14ac:dyDescent="0.2">
      <c r="A33" s="176"/>
      <c r="B33" s="177"/>
      <c r="C33" s="178"/>
      <c r="D33" s="180"/>
      <c r="F33" s="157"/>
      <c r="G33" s="157"/>
      <c r="H33" s="157"/>
      <c r="I33" s="157"/>
      <c r="J33" s="157"/>
      <c r="K33" s="157"/>
      <c r="L33" s="157"/>
    </row>
    <row r="34" spans="1:12" ht="14.25" x14ac:dyDescent="0.2">
      <c r="A34" s="168" t="s">
        <v>187</v>
      </c>
      <c r="B34" s="169" t="s">
        <v>188</v>
      </c>
      <c r="C34" s="172">
        <f>ROUND(C17*C25,4)</f>
        <v>6.2E-2</v>
      </c>
      <c r="D34" s="173"/>
      <c r="F34" s="157"/>
      <c r="G34" s="157"/>
      <c r="H34" s="157"/>
      <c r="I34" s="157"/>
      <c r="J34" s="157"/>
      <c r="K34" s="157"/>
      <c r="L34" s="157"/>
    </row>
    <row r="35" spans="1:12" ht="28.5" x14ac:dyDescent="0.2">
      <c r="A35" s="168" t="s">
        <v>189</v>
      </c>
      <c r="B35" s="184" t="s">
        <v>290</v>
      </c>
      <c r="C35" s="172">
        <f>ROUND((C27*C16),4)</f>
        <v>3.3E-3</v>
      </c>
      <c r="D35" s="173"/>
      <c r="F35" s="157"/>
      <c r="G35" s="157"/>
      <c r="H35" s="157"/>
      <c r="I35" s="157"/>
      <c r="J35" s="157"/>
      <c r="K35" s="157"/>
      <c r="L35" s="157"/>
    </row>
    <row r="36" spans="1:12" ht="15" x14ac:dyDescent="0.2">
      <c r="A36" s="168" t="s">
        <v>190</v>
      </c>
      <c r="B36" s="174" t="s">
        <v>191</v>
      </c>
      <c r="C36" s="175">
        <f>SUM(C34:C35)</f>
        <v>6.5299999999999997E-2</v>
      </c>
      <c r="D36" s="185"/>
      <c r="F36" s="157"/>
      <c r="G36" s="157"/>
      <c r="H36" s="157"/>
      <c r="I36" s="157"/>
      <c r="J36" s="157"/>
      <c r="K36" s="157"/>
      <c r="L36" s="157"/>
    </row>
    <row r="37" spans="1:12" ht="15.75" thickBot="1" x14ac:dyDescent="0.25">
      <c r="A37" s="186"/>
      <c r="B37" s="187" t="s">
        <v>192</v>
      </c>
      <c r="C37" s="188">
        <f>C36+C32+C25+C17</f>
        <v>0.73911952000000003</v>
      </c>
      <c r="D37" s="185"/>
      <c r="F37" s="157"/>
      <c r="G37" s="157"/>
      <c r="H37" s="157"/>
      <c r="I37" s="157"/>
      <c r="J37" s="157"/>
      <c r="K37" s="157"/>
      <c r="L37" s="157"/>
    </row>
    <row r="38" spans="1:12" ht="15" x14ac:dyDescent="0.2">
      <c r="A38" s="173"/>
      <c r="B38" s="189"/>
      <c r="C38" s="190"/>
      <c r="D38" s="191"/>
      <c r="F38" s="157"/>
      <c r="G38" s="157"/>
      <c r="H38" s="157"/>
      <c r="I38" s="157"/>
      <c r="J38" s="157"/>
      <c r="K38" s="157"/>
      <c r="L38" s="157"/>
    </row>
    <row r="39" spans="1:12" ht="14.25" x14ac:dyDescent="0.2">
      <c r="A39" s="173"/>
      <c r="B39" s="173"/>
      <c r="C39" s="192"/>
      <c r="D39" s="193"/>
      <c r="F39" s="157"/>
      <c r="G39" s="157"/>
      <c r="H39" s="157"/>
      <c r="I39" s="157"/>
      <c r="J39" s="157"/>
      <c r="K39" s="157"/>
      <c r="L39" s="157"/>
    </row>
    <row r="40" spans="1:12" ht="14.25" x14ac:dyDescent="0.2">
      <c r="A40" s="171"/>
      <c r="B40" s="171"/>
      <c r="C40" s="194"/>
      <c r="D40" s="171"/>
      <c r="F40" s="157"/>
      <c r="G40" s="157"/>
      <c r="H40" s="157"/>
      <c r="I40" s="157"/>
      <c r="J40" s="157"/>
      <c r="K40" s="157"/>
      <c r="L40" s="157"/>
    </row>
    <row r="41" spans="1:12" ht="14.25" x14ac:dyDescent="0.2">
      <c r="A41" s="171"/>
      <c r="B41" s="171"/>
      <c r="C41" s="194"/>
      <c r="D41" s="171"/>
      <c r="F41" s="157"/>
      <c r="G41" s="157"/>
      <c r="H41" s="157"/>
      <c r="I41" s="157"/>
      <c r="J41" s="157"/>
      <c r="K41" s="157"/>
      <c r="L41" s="157"/>
    </row>
    <row r="42" spans="1:12" ht="14.25" x14ac:dyDescent="0.2">
      <c r="A42" s="171"/>
      <c r="B42" s="171"/>
      <c r="C42" s="194"/>
      <c r="D42" s="171"/>
      <c r="F42" s="157"/>
      <c r="G42" s="157"/>
      <c r="H42" s="157"/>
      <c r="I42" s="157"/>
      <c r="J42" s="157"/>
      <c r="K42" s="157"/>
      <c r="L42" s="157"/>
    </row>
    <row r="43" spans="1:12" ht="15" x14ac:dyDescent="0.2">
      <c r="A43" s="171"/>
      <c r="B43" s="195"/>
      <c r="C43" s="196"/>
      <c r="D43" s="171"/>
      <c r="F43" s="157"/>
      <c r="G43" s="157"/>
      <c r="H43" s="157"/>
      <c r="I43" s="157"/>
      <c r="J43" s="157"/>
      <c r="K43" s="157"/>
      <c r="L43" s="157"/>
    </row>
    <row r="44" spans="1:12" ht="15" x14ac:dyDescent="0.2">
      <c r="A44" s="185"/>
      <c r="B44" s="195"/>
      <c r="C44" s="196"/>
      <c r="D44" s="185"/>
      <c r="E44" s="157"/>
      <c r="F44" s="157"/>
      <c r="G44" s="157"/>
      <c r="H44" s="157"/>
      <c r="I44" s="157"/>
      <c r="J44" s="157"/>
      <c r="K44" s="157"/>
      <c r="L44" s="157"/>
    </row>
    <row r="45" spans="1:12" ht="16.5" x14ac:dyDescent="0.2">
      <c r="A45" s="197"/>
      <c r="B45" s="157"/>
      <c r="C45" s="157"/>
      <c r="E45" s="157"/>
      <c r="F45" s="157"/>
      <c r="G45" s="157"/>
      <c r="H45" s="157"/>
      <c r="I45" s="157"/>
      <c r="J45" s="157"/>
      <c r="K45" s="157"/>
      <c r="L45" s="157"/>
    </row>
    <row r="46" spans="1:12" x14ac:dyDescent="0.2">
      <c r="A46" s="198"/>
      <c r="B46" s="199"/>
      <c r="C46" s="199"/>
      <c r="E46" s="157"/>
      <c r="F46" s="157"/>
      <c r="G46" s="157"/>
      <c r="H46" s="157"/>
      <c r="I46" s="157"/>
      <c r="J46" s="157"/>
      <c r="K46" s="157"/>
      <c r="L46" s="157"/>
    </row>
    <row r="47" spans="1:12" ht="14.25" x14ac:dyDescent="0.2">
      <c r="A47" s="171"/>
      <c r="B47" s="200"/>
      <c r="C47" s="199"/>
      <c r="E47" s="157"/>
      <c r="F47" s="157"/>
      <c r="G47" s="157"/>
      <c r="H47" s="157"/>
      <c r="I47" s="157"/>
      <c r="J47" s="157"/>
      <c r="K47" s="157"/>
      <c r="L47" s="157"/>
    </row>
    <row r="48" spans="1:12" ht="14.25" x14ac:dyDescent="0.2">
      <c r="A48" s="171"/>
      <c r="B48" s="200"/>
      <c r="C48" s="171"/>
      <c r="E48" s="157"/>
      <c r="F48" s="157"/>
      <c r="G48" s="157"/>
      <c r="H48" s="157"/>
      <c r="I48" s="157"/>
      <c r="J48" s="157"/>
      <c r="K48" s="157"/>
      <c r="L48" s="157"/>
    </row>
    <row r="49" spans="1:12" ht="14.25" x14ac:dyDescent="0.2">
      <c r="A49" s="171"/>
      <c r="B49" s="194"/>
      <c r="C49" s="199"/>
      <c r="E49" s="157"/>
      <c r="F49" s="157"/>
      <c r="G49" s="157"/>
      <c r="H49" s="157"/>
      <c r="I49" s="157"/>
      <c r="J49" s="157"/>
      <c r="K49" s="157"/>
      <c r="L49" s="157"/>
    </row>
    <row r="50" spans="1:12" ht="14.25" x14ac:dyDescent="0.2">
      <c r="A50" s="171"/>
      <c r="B50" s="200"/>
      <c r="C50" s="171"/>
      <c r="E50" s="157"/>
      <c r="F50" s="157"/>
      <c r="G50" s="157"/>
      <c r="H50" s="157"/>
      <c r="I50" s="157"/>
      <c r="J50" s="157"/>
      <c r="K50" s="157"/>
      <c r="L50" s="157"/>
    </row>
    <row r="51" spans="1:12" ht="14.25" x14ac:dyDescent="0.2">
      <c r="A51" s="171"/>
      <c r="B51" s="194"/>
      <c r="C51" s="199"/>
      <c r="E51" s="157"/>
      <c r="F51" s="157"/>
      <c r="G51" s="157"/>
      <c r="H51" s="157"/>
      <c r="I51" s="157"/>
      <c r="J51" s="157"/>
      <c r="K51" s="157"/>
      <c r="L51" s="157"/>
    </row>
    <row r="52" spans="1:12" ht="14.25" x14ac:dyDescent="0.2">
      <c r="A52" s="171"/>
      <c r="B52" s="200"/>
      <c r="C52" s="171"/>
      <c r="E52" s="157"/>
      <c r="F52" s="157"/>
      <c r="G52" s="157"/>
      <c r="H52" s="157"/>
      <c r="I52" s="157"/>
      <c r="J52" s="157"/>
      <c r="K52" s="157"/>
      <c r="L52" s="157"/>
    </row>
    <row r="53" spans="1:12" ht="14.25" x14ac:dyDescent="0.2">
      <c r="A53" s="171"/>
      <c r="B53" s="194"/>
      <c r="C53" s="199"/>
      <c r="E53" s="157"/>
      <c r="F53" s="157"/>
      <c r="G53" s="157"/>
      <c r="H53" s="157"/>
      <c r="I53" s="157"/>
      <c r="J53" s="157"/>
      <c r="K53" s="157"/>
      <c r="L53" s="157"/>
    </row>
    <row r="54" spans="1:12" ht="14.25" x14ac:dyDescent="0.2">
      <c r="A54" s="171"/>
      <c r="B54" s="200"/>
      <c r="C54" s="171"/>
      <c r="E54" s="157"/>
      <c r="F54" s="157"/>
      <c r="G54" s="157"/>
      <c r="H54" s="157"/>
      <c r="I54" s="157"/>
      <c r="J54" s="157"/>
      <c r="K54" s="157"/>
      <c r="L54" s="157"/>
    </row>
    <row r="55" spans="1:12" ht="14.25" x14ac:dyDescent="0.2">
      <c r="A55" s="171"/>
      <c r="B55" s="194"/>
      <c r="C55" s="199"/>
      <c r="E55" s="157"/>
      <c r="F55" s="157"/>
      <c r="G55" s="157"/>
      <c r="H55" s="157"/>
      <c r="I55" s="157"/>
      <c r="J55" s="157"/>
      <c r="K55" s="157"/>
      <c r="L55" s="157"/>
    </row>
    <row r="56" spans="1:12" ht="16.5" x14ac:dyDescent="0.2">
      <c r="A56" s="197"/>
      <c r="B56" s="157"/>
      <c r="C56" s="157"/>
      <c r="E56" s="157"/>
      <c r="F56" s="157"/>
      <c r="G56" s="157"/>
      <c r="H56" s="157"/>
      <c r="I56" s="157"/>
      <c r="J56" s="157"/>
      <c r="K56" s="157"/>
      <c r="L56" s="157"/>
    </row>
    <row r="57" spans="1:12" x14ac:dyDescent="0.2">
      <c r="A57" s="157"/>
      <c r="B57" s="157"/>
      <c r="C57" s="157"/>
      <c r="E57" s="157"/>
      <c r="F57" s="157"/>
      <c r="G57" s="157"/>
      <c r="H57" s="157"/>
      <c r="I57" s="157"/>
      <c r="J57" s="157"/>
      <c r="K57" s="157"/>
      <c r="L57" s="157"/>
    </row>
    <row r="58" spans="1:12" x14ac:dyDescent="0.2">
      <c r="A58" s="157"/>
      <c r="B58" s="157"/>
      <c r="C58" s="157"/>
      <c r="E58" s="157"/>
      <c r="F58" s="157"/>
      <c r="G58" s="157"/>
      <c r="H58" s="157"/>
      <c r="I58" s="157"/>
      <c r="J58" s="157"/>
      <c r="K58" s="157"/>
      <c r="L58" s="157"/>
    </row>
    <row r="59" spans="1:12" x14ac:dyDescent="0.2">
      <c r="A59" s="201"/>
      <c r="B59" s="157"/>
      <c r="C59" s="157"/>
      <c r="E59" s="157"/>
      <c r="F59" s="157"/>
      <c r="G59" s="157"/>
      <c r="H59" s="157"/>
      <c r="I59" s="157"/>
      <c r="J59" s="157"/>
      <c r="K59" s="157"/>
      <c r="L59" s="157"/>
    </row>
    <row r="60" spans="1:12" x14ac:dyDescent="0.2">
      <c r="A60" s="157"/>
      <c r="B60" s="157"/>
      <c r="C60" s="157"/>
      <c r="E60" s="157"/>
    </row>
    <row r="61" spans="1:12" x14ac:dyDescent="0.2">
      <c r="A61" s="157"/>
      <c r="B61" s="157"/>
      <c r="C61" s="157"/>
      <c r="E61" s="157"/>
    </row>
    <row r="62" spans="1:12" x14ac:dyDescent="0.2">
      <c r="A62" s="157"/>
      <c r="B62" s="157"/>
      <c r="C62" s="157"/>
      <c r="E62" s="157"/>
    </row>
    <row r="63" spans="1:12" x14ac:dyDescent="0.2">
      <c r="A63" s="157"/>
      <c r="B63" s="157"/>
      <c r="C63" s="157"/>
      <c r="E63" s="157"/>
    </row>
    <row r="64" spans="1:12" x14ac:dyDescent="0.2">
      <c r="A64" s="157"/>
      <c r="B64" s="157"/>
      <c r="C64" s="157"/>
      <c r="E64" s="157"/>
    </row>
    <row r="65" spans="1:5" x14ac:dyDescent="0.2">
      <c r="A65" s="157"/>
      <c r="B65" s="157"/>
      <c r="C65" s="157"/>
      <c r="E65" s="157"/>
    </row>
    <row r="66" spans="1:5" x14ac:dyDescent="0.2">
      <c r="A66" s="157"/>
      <c r="B66" s="157"/>
      <c r="C66" s="157"/>
      <c r="E66" s="157"/>
    </row>
    <row r="67" spans="1:5" x14ac:dyDescent="0.2">
      <c r="A67" s="157"/>
      <c r="B67" s="157"/>
      <c r="C67" s="157"/>
      <c r="E67" s="157"/>
    </row>
    <row r="68" spans="1:5" x14ac:dyDescent="0.2">
      <c r="A68" s="157"/>
      <c r="B68" s="157"/>
      <c r="C68" s="157"/>
      <c r="E68" s="157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activeCell="C27" sqref="C27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7" t="s">
        <v>246</v>
      </c>
    </row>
    <row r="3" spans="1:3" x14ac:dyDescent="0.2">
      <c r="A3" s="1" t="s">
        <v>213</v>
      </c>
    </row>
    <row r="4" spans="1:3" x14ac:dyDescent="0.2">
      <c r="A4" s="271" t="s">
        <v>209</v>
      </c>
    </row>
    <row r="5" spans="1:3" ht="25.5" customHeight="1" x14ac:dyDescent="0.2">
      <c r="A5" s="338" t="s">
        <v>257</v>
      </c>
      <c r="B5" s="337"/>
      <c r="C5" s="337"/>
    </row>
    <row r="6" spans="1:3" x14ac:dyDescent="0.2">
      <c r="A6" s="1" t="s">
        <v>210</v>
      </c>
    </row>
    <row r="7" spans="1:3" ht="26.25" customHeight="1" x14ac:dyDescent="0.2">
      <c r="A7" s="337" t="s">
        <v>211</v>
      </c>
      <c r="B7" s="337"/>
      <c r="C7" s="337"/>
    </row>
    <row r="8" spans="1:3" x14ac:dyDescent="0.2">
      <c r="A8" s="1" t="s">
        <v>212</v>
      </c>
    </row>
    <row r="9" spans="1:3" x14ac:dyDescent="0.2">
      <c r="A9" s="298" t="s">
        <v>247</v>
      </c>
    </row>
    <row r="10" spans="1:3" ht="13.5" thickBot="1" x14ac:dyDescent="0.25"/>
    <row r="11" spans="1:3" ht="18" x14ac:dyDescent="0.25">
      <c r="B11" s="335" t="s">
        <v>232</v>
      </c>
      <c r="C11" s="336"/>
    </row>
    <row r="12" spans="1:3" ht="15" x14ac:dyDescent="0.25">
      <c r="A12" s="157"/>
      <c r="B12" s="156" t="s">
        <v>208</v>
      </c>
      <c r="C12" s="202"/>
    </row>
    <row r="13" spans="1:3" ht="15" x14ac:dyDescent="0.25">
      <c r="A13" s="157"/>
      <c r="B13" s="158" t="s">
        <v>128</v>
      </c>
      <c r="C13" s="159">
        <v>2393</v>
      </c>
    </row>
    <row r="14" spans="1:3" ht="15" x14ac:dyDescent="0.25">
      <c r="A14" s="157"/>
      <c r="B14" s="160" t="s">
        <v>129</v>
      </c>
      <c r="C14" s="159">
        <v>3476</v>
      </c>
    </row>
    <row r="15" spans="1:3" ht="14.25" x14ac:dyDescent="0.2">
      <c r="A15" s="157"/>
      <c r="B15" s="203" t="s">
        <v>130</v>
      </c>
      <c r="C15" s="204">
        <v>88</v>
      </c>
    </row>
    <row r="16" spans="1:3" ht="14.25" x14ac:dyDescent="0.2">
      <c r="A16" s="157"/>
      <c r="B16" s="203" t="s">
        <v>131</v>
      </c>
      <c r="C16" s="204">
        <v>2448</v>
      </c>
    </row>
    <row r="17" spans="1:5" ht="14.25" x14ac:dyDescent="0.2">
      <c r="A17" s="157"/>
      <c r="B17" s="203" t="s">
        <v>132</v>
      </c>
      <c r="C17" s="204">
        <v>354</v>
      </c>
    </row>
    <row r="18" spans="1:5" ht="14.25" x14ac:dyDescent="0.2">
      <c r="A18" s="157"/>
      <c r="B18" s="203" t="s">
        <v>133</v>
      </c>
      <c r="C18" s="204">
        <v>24</v>
      </c>
    </row>
    <row r="19" spans="1:5" ht="14.25" x14ac:dyDescent="0.2">
      <c r="A19" s="157"/>
      <c r="B19" s="203" t="s">
        <v>134</v>
      </c>
      <c r="C19" s="204">
        <v>532</v>
      </c>
    </row>
    <row r="20" spans="1:5" ht="14.25" x14ac:dyDescent="0.2">
      <c r="A20" s="157"/>
      <c r="B20" s="203" t="s">
        <v>135</v>
      </c>
      <c r="C20" s="204">
        <v>1</v>
      </c>
    </row>
    <row r="21" spans="1:5" ht="14.25" x14ac:dyDescent="0.2">
      <c r="A21" s="157"/>
      <c r="B21" s="203" t="s">
        <v>136</v>
      </c>
      <c r="C21" s="204">
        <v>29</v>
      </c>
    </row>
    <row r="22" spans="1:5" ht="14.25" x14ac:dyDescent="0.2">
      <c r="A22" s="157"/>
      <c r="B22" s="205" t="s">
        <v>137</v>
      </c>
      <c r="C22" s="206">
        <v>0</v>
      </c>
    </row>
    <row r="23" spans="1:5" ht="14.25" x14ac:dyDescent="0.2">
      <c r="A23" s="157"/>
      <c r="B23" s="304" t="s">
        <v>297</v>
      </c>
      <c r="C23" s="206">
        <v>0</v>
      </c>
    </row>
    <row r="24" spans="1:5" ht="15" x14ac:dyDescent="0.25">
      <c r="A24" s="157" t="s">
        <v>138</v>
      </c>
      <c r="B24" s="156" t="s">
        <v>139</v>
      </c>
      <c r="C24" s="202"/>
    </row>
    <row r="25" spans="1:5" ht="14.25" x14ac:dyDescent="0.2">
      <c r="A25" s="157"/>
      <c r="B25" s="207" t="s">
        <v>302</v>
      </c>
      <c r="C25" s="208">
        <v>6537</v>
      </c>
    </row>
    <row r="26" spans="1:5" ht="14.25" x14ac:dyDescent="0.2">
      <c r="A26" s="157"/>
      <c r="B26" s="203" t="s">
        <v>303</v>
      </c>
      <c r="C26" s="204">
        <v>5454</v>
      </c>
    </row>
    <row r="27" spans="1:5" ht="14.25" x14ac:dyDescent="0.2">
      <c r="B27" s="203" t="s">
        <v>298</v>
      </c>
      <c r="C27" s="297">
        <f>C13-C14</f>
        <v>-1083</v>
      </c>
    </row>
    <row r="28" spans="1:5" ht="14.25" x14ac:dyDescent="0.2">
      <c r="B28" s="209"/>
      <c r="C28" s="210"/>
    </row>
    <row r="29" spans="1:5" s="107" customFormat="1" ht="15" x14ac:dyDescent="0.25">
      <c r="B29" s="158" t="s">
        <v>141</v>
      </c>
      <c r="C29" s="211">
        <f>MEDIAN(C25,C26)</f>
        <v>5995.5</v>
      </c>
    </row>
    <row r="30" spans="1:5" ht="15" x14ac:dyDescent="0.25">
      <c r="B30" s="160" t="s">
        <v>295</v>
      </c>
      <c r="C30" s="302">
        <f>C16/C29</f>
        <v>0.40830622967225422</v>
      </c>
    </row>
    <row r="31" spans="1:5" ht="15" x14ac:dyDescent="0.25">
      <c r="B31" s="160" t="s">
        <v>296</v>
      </c>
      <c r="C31" s="302">
        <f>MEDIAN(C13,C14)/C29</f>
        <v>0.48945042114919524</v>
      </c>
      <c r="E31" s="271"/>
    </row>
    <row r="32" spans="1:5" s="107" customFormat="1" ht="15" x14ac:dyDescent="0.25">
      <c r="B32" s="160" t="s">
        <v>253</v>
      </c>
      <c r="C32" s="300">
        <f>12/C31</f>
        <v>24.517294257965581</v>
      </c>
    </row>
    <row r="33" spans="2:3" ht="15" x14ac:dyDescent="0.25">
      <c r="B33" s="160" t="s">
        <v>140</v>
      </c>
      <c r="C33" s="162">
        <v>360</v>
      </c>
    </row>
    <row r="34" spans="2:3" ht="15" x14ac:dyDescent="0.25">
      <c r="B34" s="160" t="s">
        <v>248</v>
      </c>
      <c r="C34" s="162">
        <v>10</v>
      </c>
    </row>
    <row r="35" spans="2:3" ht="15" x14ac:dyDescent="0.25">
      <c r="B35" s="158" t="s">
        <v>249</v>
      </c>
      <c r="C35" s="161">
        <v>30</v>
      </c>
    </row>
    <row r="36" spans="2:3" ht="15" x14ac:dyDescent="0.25">
      <c r="B36" s="158" t="s">
        <v>250</v>
      </c>
      <c r="C36" s="161">
        <v>30</v>
      </c>
    </row>
    <row r="37" spans="2:3" s="107" customFormat="1" ht="15" x14ac:dyDescent="0.25">
      <c r="B37" s="158" t="s">
        <v>143</v>
      </c>
      <c r="C37" s="161">
        <f>30+(3*TRUNC(1/C31))</f>
        <v>36</v>
      </c>
    </row>
    <row r="38" spans="2:3" s="107" customFormat="1" ht="15" x14ac:dyDescent="0.25">
      <c r="B38" s="160" t="s">
        <v>39</v>
      </c>
      <c r="C38" s="301">
        <v>0.08</v>
      </c>
    </row>
    <row r="39" spans="2:3" s="107" customFormat="1" ht="15.75" thickBot="1" x14ac:dyDescent="0.3">
      <c r="B39" s="163" t="s">
        <v>142</v>
      </c>
      <c r="C39" s="303">
        <v>0.5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C15" sqref="C15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2" bestFit="1" customWidth="1"/>
    <col min="6" max="6" width="9.7109375" bestFit="1" customWidth="1"/>
  </cols>
  <sheetData>
    <row r="1" spans="1:8" s="146" customFormat="1" ht="14.25" x14ac:dyDescent="0.2">
      <c r="A1" s="11" t="s">
        <v>206</v>
      </c>
      <c r="B1" s="144"/>
      <c r="C1" s="144"/>
      <c r="E1" s="147"/>
    </row>
    <row r="2" spans="1:8" s="146" customFormat="1" ht="14.25" x14ac:dyDescent="0.2">
      <c r="A2" s="139" t="s">
        <v>254</v>
      </c>
      <c r="B2" s="144"/>
      <c r="C2" s="144"/>
      <c r="E2" s="147"/>
    </row>
    <row r="3" spans="1:8" s="146" customFormat="1" ht="14.25" x14ac:dyDescent="0.2">
      <c r="A3" s="9" t="s">
        <v>207</v>
      </c>
      <c r="B3" s="144"/>
      <c r="C3" s="144"/>
      <c r="E3" s="147"/>
    </row>
    <row r="4" spans="1:8" s="146" customFormat="1" ht="14.25" x14ac:dyDescent="0.2">
      <c r="A4" s="9"/>
      <c r="B4" s="144"/>
      <c r="C4" s="144"/>
      <c r="E4" s="147"/>
    </row>
    <row r="5" spans="1:8" s="4" customFormat="1" ht="15.6" customHeight="1" x14ac:dyDescent="0.2">
      <c r="A5" s="296" t="s">
        <v>294</v>
      </c>
      <c r="B5" s="138"/>
      <c r="C5" s="138"/>
      <c r="D5" s="138"/>
      <c r="E5" s="138"/>
      <c r="F5" s="138"/>
      <c r="G5" s="6"/>
    </row>
    <row r="6" spans="1:8" s="4" customFormat="1" ht="16.5" customHeight="1" x14ac:dyDescent="0.2">
      <c r="A6" s="296" t="s">
        <v>291</v>
      </c>
      <c r="B6" s="5"/>
      <c r="C6" s="5"/>
      <c r="D6" s="6"/>
      <c r="E6" s="6"/>
      <c r="F6" s="6"/>
      <c r="G6" s="6"/>
    </row>
    <row r="7" spans="1:8" s="146" customFormat="1" ht="15" thickBot="1" x14ac:dyDescent="0.25">
      <c r="B7" s="144"/>
      <c r="C7" s="144"/>
      <c r="E7" s="147"/>
    </row>
    <row r="8" spans="1:8" ht="15.75" x14ac:dyDescent="0.2">
      <c r="A8" s="344" t="s">
        <v>233</v>
      </c>
      <c r="B8" s="345"/>
      <c r="C8" s="345"/>
      <c r="D8" s="345"/>
      <c r="E8" s="345"/>
      <c r="F8" s="346"/>
    </row>
    <row r="9" spans="1:8" ht="16.5" thickBot="1" x14ac:dyDescent="0.25">
      <c r="A9" s="256"/>
      <c r="B9" s="257"/>
      <c r="C9" s="257"/>
      <c r="D9" s="257"/>
      <c r="E9" s="257"/>
      <c r="F9" s="258"/>
    </row>
    <row r="10" spans="1:8" ht="15" x14ac:dyDescent="0.25">
      <c r="A10" s="212"/>
      <c r="B10" s="145"/>
      <c r="C10" s="145"/>
      <c r="D10" s="341" t="s">
        <v>251</v>
      </c>
      <c r="E10" s="342"/>
      <c r="F10" s="343"/>
      <c r="G10" s="146"/>
      <c r="H10" s="146"/>
    </row>
    <row r="11" spans="1:8" ht="15" thickBot="1" x14ac:dyDescent="0.25">
      <c r="A11" s="209"/>
      <c r="B11" s="213"/>
      <c r="C11" s="213"/>
      <c r="D11" s="214" t="s">
        <v>193</v>
      </c>
      <c r="E11" s="215" t="s">
        <v>194</v>
      </c>
      <c r="F11" s="216" t="s">
        <v>195</v>
      </c>
      <c r="G11" s="146"/>
      <c r="H11" s="146"/>
    </row>
    <row r="12" spans="1:8" ht="14.25" x14ac:dyDescent="0.2">
      <c r="A12" s="217" t="s">
        <v>74</v>
      </c>
      <c r="B12" s="218" t="s">
        <v>75</v>
      </c>
      <c r="C12" s="219">
        <v>5.0799999999999998E-2</v>
      </c>
      <c r="D12" s="240">
        <v>2.9700000000000001E-2</v>
      </c>
      <c r="E12" s="241">
        <v>5.0799999999999998E-2</v>
      </c>
      <c r="F12" s="242">
        <v>6.2700000000000006E-2</v>
      </c>
      <c r="G12" s="146"/>
      <c r="H12" s="146"/>
    </row>
    <row r="13" spans="1:8" ht="14.25" x14ac:dyDescent="0.2">
      <c r="A13" s="221" t="s">
        <v>76</v>
      </c>
      <c r="B13" s="222" t="s">
        <v>77</v>
      </c>
      <c r="C13" s="223">
        <v>1.3299999999999999E-2</v>
      </c>
      <c r="D13" s="240">
        <f>0.3%+0.56%</f>
        <v>8.6E-3</v>
      </c>
      <c r="E13" s="241">
        <f>0.48%+0.85%</f>
        <v>1.3299999999999999E-2</v>
      </c>
      <c r="F13" s="242">
        <f>0.82%+0.89%</f>
        <v>1.7099999999999997E-2</v>
      </c>
      <c r="G13" s="146"/>
      <c r="H13" s="146"/>
    </row>
    <row r="14" spans="1:8" ht="14.25" x14ac:dyDescent="0.2">
      <c r="A14" s="221" t="s">
        <v>78</v>
      </c>
      <c r="B14" s="222" t="s">
        <v>79</v>
      </c>
      <c r="C14" s="223">
        <v>0.1085</v>
      </c>
      <c r="D14" s="240">
        <v>7.7799999999999994E-2</v>
      </c>
      <c r="E14" s="241">
        <v>0.1085</v>
      </c>
      <c r="F14" s="242">
        <v>0.13550000000000001</v>
      </c>
      <c r="G14" s="146"/>
      <c r="H14" s="146"/>
    </row>
    <row r="15" spans="1:8" ht="14.25" x14ac:dyDescent="0.2">
      <c r="A15" s="221" t="s">
        <v>80</v>
      </c>
      <c r="B15" s="222" t="s">
        <v>81</v>
      </c>
      <c r="C15" s="224">
        <f>(1+E15)^(E16/252)-1</f>
        <v>0</v>
      </c>
      <c r="D15" s="240" t="s">
        <v>286</v>
      </c>
      <c r="E15" s="225">
        <v>6.4000000000000001E-2</v>
      </c>
      <c r="F15" s="220"/>
      <c r="G15" s="146"/>
      <c r="H15" s="146"/>
    </row>
    <row r="16" spans="1:8" ht="14.25" x14ac:dyDescent="0.2">
      <c r="A16" s="221" t="s">
        <v>82</v>
      </c>
      <c r="B16" s="339" t="s">
        <v>83</v>
      </c>
      <c r="C16" s="223">
        <v>0.04</v>
      </c>
      <c r="D16" s="295" t="s">
        <v>196</v>
      </c>
      <c r="E16" s="226">
        <v>0</v>
      </c>
      <c r="F16" s="227"/>
      <c r="G16" s="146"/>
      <c r="H16" s="146"/>
    </row>
    <row r="17" spans="1:8" ht="15" thickBot="1" x14ac:dyDescent="0.25">
      <c r="A17" s="228" t="s">
        <v>84</v>
      </c>
      <c r="B17" s="340"/>
      <c r="C17" s="229">
        <v>3.6499999999999998E-2</v>
      </c>
      <c r="D17" s="203"/>
      <c r="E17" s="230"/>
      <c r="F17" s="227"/>
      <c r="G17" s="146"/>
      <c r="H17" s="146"/>
    </row>
    <row r="18" spans="1:8" ht="14.25" x14ac:dyDescent="0.2">
      <c r="A18" s="231" t="s">
        <v>85</v>
      </c>
      <c r="B18" s="232"/>
      <c r="C18" s="233"/>
      <c r="D18" s="203"/>
      <c r="E18" s="230"/>
      <c r="F18" s="227"/>
      <c r="G18" s="146"/>
      <c r="H18" s="146"/>
    </row>
    <row r="19" spans="1:8" ht="15" thickBot="1" x14ac:dyDescent="0.25">
      <c r="A19" s="234" t="s">
        <v>86</v>
      </c>
      <c r="B19" s="235"/>
      <c r="C19" s="236"/>
      <c r="D19" s="203"/>
      <c r="E19" s="230"/>
      <c r="F19" s="227"/>
      <c r="G19" s="146"/>
      <c r="H19" s="146"/>
    </row>
    <row r="20" spans="1:8" ht="15.75" thickBot="1" x14ac:dyDescent="0.25">
      <c r="A20" s="237" t="s">
        <v>87</v>
      </c>
      <c r="B20" s="238"/>
      <c r="C20" s="239">
        <f>ROUND((((1+C12+C13)*(1+C14)*(1+C15))/(1-(C16+C17))-1),4)</f>
        <v>0.27729999999999999</v>
      </c>
      <c r="D20" s="243">
        <v>0.21429999999999999</v>
      </c>
      <c r="E20" s="244">
        <v>0.2717</v>
      </c>
      <c r="F20" s="245">
        <v>0.3362</v>
      </c>
      <c r="G20" s="146"/>
      <c r="H20" s="146"/>
    </row>
    <row r="21" spans="1:8" ht="14.25" x14ac:dyDescent="0.2">
      <c r="A21" s="146"/>
      <c r="B21" s="146"/>
      <c r="C21" s="146"/>
      <c r="D21" s="146"/>
      <c r="E21" s="147"/>
      <c r="F21" s="146"/>
      <c r="G21" s="146"/>
      <c r="H21" s="146"/>
    </row>
    <row r="22" spans="1:8" ht="14.25" x14ac:dyDescent="0.2">
      <c r="A22" s="146"/>
      <c r="B22" s="146"/>
      <c r="C22" s="146"/>
      <c r="D22" s="146"/>
      <c r="E22" s="147"/>
      <c r="F22" s="146"/>
      <c r="G22" s="146"/>
      <c r="H22" s="146"/>
    </row>
    <row r="23" spans="1:8" ht="14.25" x14ac:dyDescent="0.2">
      <c r="A23" s="146"/>
      <c r="B23" s="146"/>
      <c r="C23" s="146"/>
      <c r="D23" s="146"/>
      <c r="E23" s="147"/>
      <c r="F23" s="146"/>
      <c r="G23" s="146"/>
      <c r="H23" s="146"/>
    </row>
    <row r="24" spans="1:8" ht="14.25" x14ac:dyDescent="0.2">
      <c r="A24" s="146"/>
      <c r="B24" s="146"/>
      <c r="C24" s="146"/>
      <c r="D24" s="146"/>
      <c r="E24" s="147"/>
      <c r="F24" s="146"/>
      <c r="G24" s="146"/>
      <c r="H24" s="146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3" sqref="B3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47" t="s">
        <v>235</v>
      </c>
      <c r="B1" s="348"/>
    </row>
    <row r="2" spans="1:2" s="107" customFormat="1" ht="19.5" customHeight="1" x14ac:dyDescent="0.2">
      <c r="A2" s="259" t="s">
        <v>214</v>
      </c>
      <c r="B2" s="260" t="s">
        <v>288</v>
      </c>
    </row>
    <row r="3" spans="1:2" ht="19.5" customHeight="1" x14ac:dyDescent="0.2">
      <c r="A3" s="165">
        <v>1</v>
      </c>
      <c r="B3" s="164">
        <v>33.629999999999995</v>
      </c>
    </row>
    <row r="4" spans="1:2" ht="19.5" customHeight="1" x14ac:dyDescent="0.2">
      <c r="A4" s="165">
        <v>2</v>
      </c>
      <c r="B4" s="164">
        <v>43.13</v>
      </c>
    </row>
    <row r="5" spans="1:2" ht="19.5" customHeight="1" x14ac:dyDescent="0.2">
      <c r="A5" s="165">
        <v>3</v>
      </c>
      <c r="B5" s="164">
        <v>48.68</v>
      </c>
    </row>
    <row r="6" spans="1:2" ht="19.5" customHeight="1" x14ac:dyDescent="0.2">
      <c r="A6" s="165">
        <v>4</v>
      </c>
      <c r="B6" s="164">
        <v>52.62</v>
      </c>
    </row>
    <row r="7" spans="1:2" ht="19.5" customHeight="1" x14ac:dyDescent="0.2">
      <c r="A7" s="165">
        <v>5</v>
      </c>
      <c r="B7" s="164">
        <v>55.679999999999993</v>
      </c>
    </row>
    <row r="8" spans="1:2" ht="19.5" customHeight="1" x14ac:dyDescent="0.2">
      <c r="A8" s="165">
        <v>6</v>
      </c>
      <c r="B8" s="164">
        <v>58.18</v>
      </c>
    </row>
    <row r="9" spans="1:2" ht="19.5" customHeight="1" x14ac:dyDescent="0.2">
      <c r="A9" s="165">
        <v>7</v>
      </c>
      <c r="B9" s="164">
        <v>60.29</v>
      </c>
    </row>
    <row r="10" spans="1:2" ht="19.5" customHeight="1" x14ac:dyDescent="0.2">
      <c r="A10" s="165">
        <v>8</v>
      </c>
      <c r="B10" s="164">
        <v>62.12</v>
      </c>
    </row>
    <row r="11" spans="1:2" ht="19.5" customHeight="1" x14ac:dyDescent="0.2">
      <c r="A11" s="165">
        <v>9</v>
      </c>
      <c r="B11" s="164">
        <v>63.73</v>
      </c>
    </row>
    <row r="12" spans="1:2" ht="19.5" customHeight="1" x14ac:dyDescent="0.2">
      <c r="A12" s="165">
        <v>10</v>
      </c>
      <c r="B12" s="164">
        <v>65.180000000000007</v>
      </c>
    </row>
    <row r="13" spans="1:2" ht="19.5" customHeight="1" x14ac:dyDescent="0.2">
      <c r="A13" s="165">
        <v>11</v>
      </c>
      <c r="B13" s="164">
        <v>66.47999999999999</v>
      </c>
    </row>
    <row r="14" spans="1:2" ht="19.5" customHeight="1" x14ac:dyDescent="0.2">
      <c r="A14" s="165">
        <v>12</v>
      </c>
      <c r="B14" s="164">
        <v>67.67</v>
      </c>
    </row>
    <row r="15" spans="1:2" ht="19.5" customHeight="1" x14ac:dyDescent="0.2">
      <c r="A15" s="165">
        <v>13</v>
      </c>
      <c r="B15" s="164">
        <v>68.77</v>
      </c>
    </row>
    <row r="16" spans="1:2" ht="19.5" customHeight="1" x14ac:dyDescent="0.2">
      <c r="A16" s="165">
        <v>14</v>
      </c>
      <c r="B16" s="164">
        <v>69.789999999999992</v>
      </c>
    </row>
    <row r="17" spans="1:2" ht="19.5" customHeight="1" thickBot="1" x14ac:dyDescent="0.25">
      <c r="A17" s="166">
        <v>15</v>
      </c>
      <c r="B17" s="167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4" sqref="A24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49" t="s">
        <v>239</v>
      </c>
    </row>
    <row r="2" spans="1:1" x14ac:dyDescent="0.2">
      <c r="A2" s="246"/>
    </row>
    <row r="3" spans="1:1" x14ac:dyDescent="0.2">
      <c r="A3" s="246" t="s">
        <v>255</v>
      </c>
    </row>
    <row r="4" spans="1:1" x14ac:dyDescent="0.2">
      <c r="A4" s="246"/>
    </row>
    <row r="5" spans="1:1" x14ac:dyDescent="0.2">
      <c r="A5" s="246"/>
    </row>
    <row r="6" spans="1:1" x14ac:dyDescent="0.2">
      <c r="A6" s="246"/>
    </row>
    <row r="7" spans="1:1" x14ac:dyDescent="0.2">
      <c r="A7" s="246"/>
    </row>
    <row r="8" spans="1:1" x14ac:dyDescent="0.2">
      <c r="A8" s="246"/>
    </row>
    <row r="9" spans="1:1" x14ac:dyDescent="0.2">
      <c r="A9" s="246"/>
    </row>
    <row r="10" spans="1:1" x14ac:dyDescent="0.2">
      <c r="A10" s="246"/>
    </row>
    <row r="11" spans="1:1" x14ac:dyDescent="0.2">
      <c r="A11" s="246"/>
    </row>
    <row r="12" spans="1:1" ht="19.5" x14ac:dyDescent="0.35">
      <c r="A12" s="247" t="s">
        <v>236</v>
      </c>
    </row>
    <row r="13" spans="1:1" ht="15" x14ac:dyDescent="0.2">
      <c r="A13" s="247" t="s">
        <v>111</v>
      </c>
    </row>
    <row r="14" spans="1:1" ht="15" x14ac:dyDescent="0.2">
      <c r="A14" s="247" t="s">
        <v>116</v>
      </c>
    </row>
    <row r="15" spans="1:1" ht="19.5" x14ac:dyDescent="0.35">
      <c r="A15" s="247" t="s">
        <v>237</v>
      </c>
    </row>
    <row r="16" spans="1:1" ht="19.5" x14ac:dyDescent="0.35">
      <c r="A16" s="247" t="s">
        <v>238</v>
      </c>
    </row>
    <row r="17" spans="1:1" ht="15.75" thickBot="1" x14ac:dyDescent="0.25">
      <c r="A17" s="248" t="s">
        <v>112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C30" sqref="C30"/>
    </sheetView>
  </sheetViews>
  <sheetFormatPr defaultRowHeight="12.75" x14ac:dyDescent="0.2"/>
  <cols>
    <col min="1" max="1" width="58.28515625" style="271" customWidth="1"/>
    <col min="2" max="2" width="11.140625" style="271" bestFit="1" customWidth="1"/>
    <col min="3" max="3" width="11.28515625" style="271" bestFit="1" customWidth="1"/>
    <col min="4" max="16384" width="9.140625" style="271"/>
  </cols>
  <sheetData>
    <row r="1" spans="1:7" x14ac:dyDescent="0.2">
      <c r="A1" s="11" t="s">
        <v>206</v>
      </c>
    </row>
    <row r="2" spans="1:7" x14ac:dyDescent="0.2">
      <c r="A2" s="276" t="s">
        <v>263</v>
      </c>
    </row>
    <row r="3" spans="1:7" x14ac:dyDescent="0.2">
      <c r="A3" s="276" t="s">
        <v>289</v>
      </c>
    </row>
    <row r="4" spans="1:7" x14ac:dyDescent="0.2">
      <c r="A4" s="7" t="s">
        <v>287</v>
      </c>
    </row>
    <row r="5" spans="1:7" x14ac:dyDescent="0.2">
      <c r="A5" s="7"/>
    </row>
    <row r="6" spans="1:7" s="4" customFormat="1" ht="15.6" customHeight="1" x14ac:dyDescent="0.2">
      <c r="A6" s="296" t="s">
        <v>294</v>
      </c>
      <c r="B6" s="138"/>
      <c r="C6" s="138"/>
      <c r="D6" s="138"/>
      <c r="E6" s="138"/>
      <c r="F6" s="138"/>
      <c r="G6" s="6"/>
    </row>
    <row r="7" spans="1:7" s="4" customFormat="1" ht="16.5" customHeight="1" x14ac:dyDescent="0.2">
      <c r="A7" s="296" t="s">
        <v>291</v>
      </c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49" t="s">
        <v>283</v>
      </c>
      <c r="B9" s="350"/>
      <c r="C9" s="351"/>
    </row>
    <row r="10" spans="1:7" s="277" customFormat="1" ht="18" x14ac:dyDescent="0.25">
      <c r="A10" s="292"/>
      <c r="B10" s="291"/>
      <c r="C10" s="293"/>
    </row>
    <row r="11" spans="1:7" s="107" customFormat="1" ht="15" x14ac:dyDescent="0.25">
      <c r="A11" s="278" t="s">
        <v>284</v>
      </c>
      <c r="B11" s="279" t="s">
        <v>264</v>
      </c>
      <c r="C11" s="280" t="s">
        <v>146</v>
      </c>
    </row>
    <row r="12" spans="1:7" ht="14.25" x14ac:dyDescent="0.2">
      <c r="A12" s="281" t="s">
        <v>272</v>
      </c>
      <c r="B12" s="282" t="s">
        <v>265</v>
      </c>
      <c r="C12" s="204">
        <v>15550</v>
      </c>
    </row>
    <row r="13" spans="1:7" ht="14.25" x14ac:dyDescent="0.2">
      <c r="A13" s="203" t="s">
        <v>273</v>
      </c>
      <c r="B13" s="283" t="s">
        <v>270</v>
      </c>
      <c r="C13" s="284">
        <f>0.0362741*C12^0.2336249</f>
        <v>0.34585116258010817</v>
      </c>
    </row>
    <row r="14" spans="1:7" ht="14.25" x14ac:dyDescent="0.2">
      <c r="A14" s="203" t="s">
        <v>274</v>
      </c>
      <c r="B14" s="283" t="s">
        <v>271</v>
      </c>
      <c r="C14" s="285">
        <f>C12*C13/1000</f>
        <v>5.3779855781206827</v>
      </c>
    </row>
    <row r="15" spans="1:7" ht="14.25" x14ac:dyDescent="0.2">
      <c r="A15" s="203" t="s">
        <v>280</v>
      </c>
      <c r="B15" s="283" t="s">
        <v>266</v>
      </c>
      <c r="C15" s="286">
        <f>(C14*30)</f>
        <v>161.33956734362047</v>
      </c>
    </row>
    <row r="16" spans="1:7" ht="14.25" x14ac:dyDescent="0.2">
      <c r="A16" s="203" t="s">
        <v>276</v>
      </c>
      <c r="B16" s="283" t="s">
        <v>92</v>
      </c>
      <c r="C16" s="289">
        <v>6</v>
      </c>
    </row>
    <row r="17" spans="1:3" ht="14.25" x14ac:dyDescent="0.2">
      <c r="A17" s="203" t="s">
        <v>275</v>
      </c>
      <c r="B17" s="283" t="s">
        <v>271</v>
      </c>
      <c r="C17" s="285">
        <f>IFERROR(C14*7/C16,0)</f>
        <v>6.2743165078074625</v>
      </c>
    </row>
    <row r="18" spans="1:3" ht="14.25" x14ac:dyDescent="0.2">
      <c r="A18" s="281" t="s">
        <v>267</v>
      </c>
      <c r="B18" s="283" t="s">
        <v>268</v>
      </c>
      <c r="C18" s="227">
        <v>500</v>
      </c>
    </row>
    <row r="19" spans="1:3" ht="14.25" x14ac:dyDescent="0.2">
      <c r="A19" s="203" t="s">
        <v>281</v>
      </c>
      <c r="B19" s="283"/>
      <c r="C19" s="204">
        <v>2</v>
      </c>
    </row>
    <row r="20" spans="1:3" ht="14.25" x14ac:dyDescent="0.2">
      <c r="A20" s="281" t="s">
        <v>282</v>
      </c>
      <c r="B20" s="283" t="s">
        <v>269</v>
      </c>
      <c r="C20" s="204">
        <v>19</v>
      </c>
    </row>
    <row r="21" spans="1:3" ht="14.25" x14ac:dyDescent="0.2">
      <c r="A21" s="203" t="s">
        <v>277</v>
      </c>
      <c r="B21" s="283" t="s">
        <v>266</v>
      </c>
      <c r="C21" s="227">
        <f>IF(AND(C20&gt;=15,C19=1),5.8,C20/2)</f>
        <v>9.5</v>
      </c>
    </row>
    <row r="22" spans="1:3" ht="14.25" x14ac:dyDescent="0.2">
      <c r="A22" s="281" t="s">
        <v>278</v>
      </c>
      <c r="B22" s="283"/>
      <c r="C22" s="285">
        <f>IFERROR(C17/C21,0)</f>
        <v>0.6604543692428908</v>
      </c>
    </row>
    <row r="23" spans="1:3" ht="14.25" x14ac:dyDescent="0.2">
      <c r="A23" s="281" t="s">
        <v>285</v>
      </c>
      <c r="B23" s="283"/>
      <c r="C23" s="294">
        <v>1</v>
      </c>
    </row>
    <row r="24" spans="1:3" ht="15" thickBot="1" x14ac:dyDescent="0.25">
      <c r="A24" s="287" t="s">
        <v>279</v>
      </c>
      <c r="B24" s="288"/>
      <c r="C24" s="290">
        <f>IFERROR(C22/C23,0)</f>
        <v>0.6604543692428908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</vt:vector>
  </TitlesOfParts>
  <Company>dmlu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Rafael Oliveira</cp:lastModifiedBy>
  <cp:lastPrinted>2020-08-04T11:39:06Z</cp:lastPrinted>
  <dcterms:created xsi:type="dcterms:W3CDTF">2000-12-13T10:02:50Z</dcterms:created>
  <dcterms:modified xsi:type="dcterms:W3CDTF">2020-08-13T11:56:23Z</dcterms:modified>
</cp:coreProperties>
</file>