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-15" windowWidth="11910" windowHeight="984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Domiciliar'!$A$1:$F$295</definedName>
    <definedName name="_xlnm.Print_Area" localSheetId="1">'2.Encargos Sociais'!$A$1:$C$39</definedName>
  </definedNames>
  <calcPr calcId="144525"/>
</workbook>
</file>

<file path=xl/calcChain.xml><?xml version="1.0" encoding="utf-8"?>
<calcChain xmlns="http://schemas.openxmlformats.org/spreadsheetml/2006/main">
  <c r="D103" i="2" l="1"/>
  <c r="C21" i="9" l="1"/>
  <c r="C27" i="5" l="1"/>
  <c r="C188" i="2" l="1"/>
  <c r="C187" i="2"/>
  <c r="C189" i="2"/>
  <c r="A25" i="2" l="1"/>
  <c r="A24" i="2"/>
  <c r="A23" i="2"/>
  <c r="A15" i="2"/>
  <c r="A14" i="2"/>
  <c r="A6" i="2"/>
  <c r="C13" i="9" l="1"/>
  <c r="C14" i="9" s="1"/>
  <c r="C15" i="9" l="1"/>
  <c r="C17" i="9"/>
  <c r="C22" i="9" s="1"/>
  <c r="C24" i="9" s="1"/>
  <c r="C158" i="2"/>
  <c r="C163" i="2"/>
  <c r="E34" i="2" l="1"/>
  <c r="E33" i="2"/>
  <c r="E32" i="2"/>
  <c r="E31" i="2"/>
  <c r="E38" i="2"/>
  <c r="C182" i="2" l="1"/>
  <c r="C177" i="2"/>
  <c r="D207" i="2"/>
  <c r="D205" i="2"/>
  <c r="D203" i="2"/>
  <c r="D201" i="2"/>
  <c r="D137" i="2" l="1"/>
  <c r="E137" i="2" s="1"/>
  <c r="E121" i="2"/>
  <c r="E122" i="2"/>
  <c r="E123" i="2"/>
  <c r="E124" i="2"/>
  <c r="E125" i="2"/>
  <c r="E126" i="2"/>
  <c r="E127" i="2"/>
  <c r="E128" i="2"/>
  <c r="E129" i="2"/>
  <c r="E120" i="2"/>
  <c r="C222" i="2" l="1"/>
  <c r="D82" i="2"/>
  <c r="A22" i="2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C20" i="8"/>
  <c r="E247" i="2"/>
  <c r="E191" i="2"/>
  <c r="E183" i="2"/>
  <c r="E167" i="2"/>
  <c r="E145" i="2"/>
  <c r="E132" i="2"/>
  <c r="E111" i="2"/>
  <c r="E91" i="2"/>
  <c r="E77" i="2"/>
  <c r="E65" i="2"/>
  <c r="E53" i="2"/>
  <c r="D171" i="2"/>
  <c r="C15" i="4"/>
  <c r="C20" i="4" s="1"/>
  <c r="C256" i="2" s="1"/>
  <c r="F13" i="4"/>
  <c r="E13" i="4"/>
  <c r="D13" i="4"/>
  <c r="C17" i="8"/>
  <c r="C29" i="5"/>
  <c r="C86" i="2"/>
  <c r="C84" i="2"/>
  <c r="D81" i="2"/>
  <c r="E69" i="2"/>
  <c r="D98" i="2" s="1"/>
  <c r="C98" i="2"/>
  <c r="C220" i="2"/>
  <c r="E220" i="2" s="1"/>
  <c r="C199" i="2"/>
  <c r="C201" i="2" s="1"/>
  <c r="E201" i="2" s="1"/>
  <c r="D199" i="2"/>
  <c r="D208" i="2" s="1"/>
  <c r="E155" i="2"/>
  <c r="D176" i="2"/>
  <c r="C164" i="2"/>
  <c r="C159" i="2"/>
  <c r="C59" i="2"/>
  <c r="D57" i="2"/>
  <c r="C243" i="2"/>
  <c r="C245" i="2" s="1"/>
  <c r="E245" i="2" s="1"/>
  <c r="D246" i="2" s="1"/>
  <c r="E246" i="2" s="1"/>
  <c r="C160" i="2"/>
  <c r="C176" i="2" s="1"/>
  <c r="C97" i="2"/>
  <c r="A31" i="2"/>
  <c r="A32" i="2"/>
  <c r="A33" i="2"/>
  <c r="A34" i="2"/>
  <c r="A38" i="2"/>
  <c r="E47" i="2"/>
  <c r="D97" i="2" s="1"/>
  <c r="C60" i="2"/>
  <c r="A103" i="2"/>
  <c r="A109" i="2" s="1"/>
  <c r="A104" i="2"/>
  <c r="A110" i="2" s="1"/>
  <c r="E130" i="2"/>
  <c r="D138" i="2"/>
  <c r="E138" i="2" s="1"/>
  <c r="D139" i="2"/>
  <c r="E139" i="2" s="1"/>
  <c r="D140" i="2"/>
  <c r="E140" i="2" s="1"/>
  <c r="D141" i="2"/>
  <c r="E141" i="2" s="1"/>
  <c r="D142" i="2"/>
  <c r="E142" i="2" s="1"/>
  <c r="E143" i="2"/>
  <c r="E218" i="2"/>
  <c r="E189" i="2"/>
  <c r="E188" i="2"/>
  <c r="E231" i="2"/>
  <c r="E234" i="2"/>
  <c r="E235" i="2"/>
  <c r="E232" i="2"/>
  <c r="E233" i="2"/>
  <c r="D72" i="2" l="1"/>
  <c r="E72" i="2" s="1"/>
  <c r="C31" i="5"/>
  <c r="C32" i="5" s="1"/>
  <c r="C30" i="5"/>
  <c r="C31" i="8" s="1"/>
  <c r="D158" i="2"/>
  <c r="E158" i="2" s="1"/>
  <c r="D187" i="2"/>
  <c r="E81" i="2"/>
  <c r="D84" i="2"/>
  <c r="E84" i="2" s="1"/>
  <c r="C205" i="2"/>
  <c r="E205" i="2" s="1"/>
  <c r="D59" i="2"/>
  <c r="E59" i="2" s="1"/>
  <c r="C207" i="2"/>
  <c r="E207" i="2" s="1"/>
  <c r="F236" i="2"/>
  <c r="F238" i="2" s="1"/>
  <c r="E23" i="2" s="1"/>
  <c r="C104" i="2"/>
  <c r="E104" i="2" s="1"/>
  <c r="E199" i="2"/>
  <c r="E57" i="2"/>
  <c r="E160" i="2"/>
  <c r="C178" i="2" s="1"/>
  <c r="D131" i="2"/>
  <c r="C103" i="2"/>
  <c r="E103" i="2" s="1"/>
  <c r="C131" i="2"/>
  <c r="E35" i="2"/>
  <c r="C109" i="2"/>
  <c r="E109" i="2" s="1"/>
  <c r="E97" i="2"/>
  <c r="E176" i="2"/>
  <c r="C110" i="2"/>
  <c r="E110" i="2" s="1"/>
  <c r="D48" i="2"/>
  <c r="E48" i="2" s="1"/>
  <c r="E49" i="2" s="1"/>
  <c r="D50" i="2" s="1"/>
  <c r="C144" i="2"/>
  <c r="C203" i="2"/>
  <c r="E203" i="2" s="1"/>
  <c r="C213" i="2"/>
  <c r="E213" i="2" s="1"/>
  <c r="F214" i="2" s="1"/>
  <c r="E21" i="2" s="1"/>
  <c r="E243" i="2"/>
  <c r="D244" i="2" s="1"/>
  <c r="E244" i="2" s="1"/>
  <c r="F247" i="2" s="1"/>
  <c r="F249" i="2" s="1"/>
  <c r="E24" i="2" s="1"/>
  <c r="E171" i="2"/>
  <c r="D221" i="2"/>
  <c r="E221" i="2" s="1"/>
  <c r="D222" i="2" s="1"/>
  <c r="E222" i="2" s="1"/>
  <c r="F223" i="2" s="1"/>
  <c r="E22" i="2" s="1"/>
  <c r="E98" i="2"/>
  <c r="D144" i="2"/>
  <c r="E73" i="2"/>
  <c r="C30" i="8" l="1"/>
  <c r="C37" i="5"/>
  <c r="C27" i="8" s="1"/>
  <c r="C35" i="8" s="1"/>
  <c r="D159" i="2"/>
  <c r="E159" i="2" s="1"/>
  <c r="E187" i="2"/>
  <c r="D190" i="2" s="1"/>
  <c r="E190" i="2" s="1"/>
  <c r="F191" i="2" s="1"/>
  <c r="E19" i="2" s="1"/>
  <c r="C173" i="2"/>
  <c r="C174" i="2" s="1"/>
  <c r="D175" i="2" s="1"/>
  <c r="E175" i="2" s="1"/>
  <c r="C28" i="8"/>
  <c r="C19" i="8" s="1"/>
  <c r="C25" i="8" s="1"/>
  <c r="C34" i="8" s="1"/>
  <c r="D60" i="2"/>
  <c r="E60" i="2" s="1"/>
  <c r="D86" i="2"/>
  <c r="E86" i="2" s="1"/>
  <c r="F105" i="2"/>
  <c r="E12" i="2" s="1"/>
  <c r="F111" i="2"/>
  <c r="E13" i="2" s="1"/>
  <c r="E144" i="2"/>
  <c r="F145" i="2" s="1"/>
  <c r="E131" i="2"/>
  <c r="F132" i="2" s="1"/>
  <c r="D163" i="2"/>
  <c r="E163" i="2" s="1"/>
  <c r="D164" i="2" s="1"/>
  <c r="E164" i="2" s="1"/>
  <c r="F99" i="2"/>
  <c r="E11" i="2" s="1"/>
  <c r="F209" i="2"/>
  <c r="E20" i="2" s="1"/>
  <c r="D74" i="2"/>
  <c r="C29" i="8" l="1"/>
  <c r="C32" i="8" s="1"/>
  <c r="C36" i="8"/>
  <c r="E165" i="2"/>
  <c r="D166" i="2" s="1"/>
  <c r="E166" i="2" s="1"/>
  <c r="F167" i="2" s="1"/>
  <c r="E17" i="2" s="1"/>
  <c r="C179" i="2"/>
  <c r="D180" i="2" s="1"/>
  <c r="E180" i="2" s="1"/>
  <c r="E181" i="2" s="1"/>
  <c r="D182" i="2" s="1"/>
  <c r="E182" i="2" s="1"/>
  <c r="F183" i="2" s="1"/>
  <c r="F147" i="2"/>
  <c r="E14" i="2" s="1"/>
  <c r="E87" i="2"/>
  <c r="D88" i="2" s="1"/>
  <c r="E61" i="2"/>
  <c r="C37" i="8" l="1"/>
  <c r="C74" i="2" s="1"/>
  <c r="E18" i="2"/>
  <c r="E16" i="2" s="1"/>
  <c r="F226" i="2"/>
  <c r="E15" i="2" s="1"/>
  <c r="D62" i="2"/>
  <c r="C62" i="2" l="1"/>
  <c r="E62" i="2" s="1"/>
  <c r="E63" i="2" s="1"/>
  <c r="D64" i="2" s="1"/>
  <c r="E64" i="2" s="1"/>
  <c r="F65" i="2" s="1"/>
  <c r="E8" i="2" s="1"/>
  <c r="C50" i="2"/>
  <c r="E50" i="2" s="1"/>
  <c r="E51" i="2" s="1"/>
  <c r="D52" i="2" s="1"/>
  <c r="E52" i="2" s="1"/>
  <c r="F53" i="2" s="1"/>
  <c r="E7" i="2" s="1"/>
  <c r="C88" i="2"/>
  <c r="E88" i="2" s="1"/>
  <c r="E89" i="2" s="1"/>
  <c r="D90" i="2" s="1"/>
  <c r="E90" i="2" s="1"/>
  <c r="F91" i="2" s="1"/>
  <c r="E10" i="2" s="1"/>
  <c r="E74" i="2"/>
  <c r="E75" i="2" s="1"/>
  <c r="D76" i="2" s="1"/>
  <c r="E76" i="2" s="1"/>
  <c r="F77" i="2" s="1"/>
  <c r="E9" i="2" s="1"/>
  <c r="F113" i="2" l="1"/>
  <c r="F251" i="2" s="1"/>
  <c r="E6" i="2" l="1"/>
  <c r="D256" i="2"/>
  <c r="E256" i="2" s="1"/>
  <c r="F257" i="2" s="1"/>
  <c r="F259" i="2" s="1"/>
  <c r="E25" i="2" s="1"/>
  <c r="E26" i="2" l="1"/>
  <c r="F263" i="2"/>
  <c r="F6" i="2" l="1"/>
  <c r="F24" i="2"/>
  <c r="F8" i="2"/>
  <c r="F14" i="2"/>
  <c r="F7" i="2"/>
  <c r="F13" i="2"/>
  <c r="F10" i="2"/>
  <c r="F15" i="2"/>
  <c r="F22" i="2"/>
  <c r="F21" i="2"/>
  <c r="F9" i="2"/>
  <c r="F16" i="2"/>
  <c r="F17" i="2"/>
  <c r="F18" i="2"/>
  <c r="F12" i="2"/>
  <c r="F19" i="2"/>
  <c r="F11" i="2"/>
  <c r="F23" i="2"/>
  <c r="F20" i="2"/>
  <c r="F25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5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2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5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97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98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9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56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57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2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3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89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95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98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98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0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0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2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2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04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04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06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06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3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18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18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19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0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1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3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45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56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<sst xmlns="http://schemas.openxmlformats.org/spreadsheetml/2006/main" count="555" uniqueCount="317">
  <si>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</si>
  <si>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</si>
  <si>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</si>
  <si>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</si>
  <si>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</si>
  <si>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</si>
  <si>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</si>
  <si>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</si>
  <si>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</si>
  <si>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</si>
  <si>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</si>
  <si>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</si>
  <si>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</si>
  <si>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</si>
  <si>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</si>
  <si>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</si>
  <si>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</si>
  <si>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</si>
  <si>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</si>
  <si>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</si>
  <si>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</si>
  <si>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</si>
  <si>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</si>
  <si>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</si>
  <si>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</si>
  <si>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</si>
  <si>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</si>
  <si>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</si>
  <si>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</si>
  <si>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</si>
  <si>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</si>
  <si>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</si>
  <si>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</si>
  <si>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</si>
  <si>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</si>
  <si>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</si>
  <si>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</si>
  <si>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</si>
  <si>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</si>
  <si>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</si>
  <si>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</si>
  <si>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</si>
  <si>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</si>
  <si>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</si>
  <si>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</si>
  <si>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</si>
  <si>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</si>
  <si>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</si>
  <si>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</si>
  <si>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</si>
  <si>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</si>
  <si>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</si>
  <si>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</si>
  <si>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</si>
  <si>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</si>
  <si>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</si>
  <si>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</si>
  <si>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</si>
  <si>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</si>
  <si>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</si>
  <si>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</si>
  <si>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</si>
  <si>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</si>
  <si>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</si>
  <si>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</si>
  <si>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</si>
  <si>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</si>
  <si>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</si>
  <si>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</si>
  <si>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</si>
  <si>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</si>
  <si>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</si>
  <si>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</si>
  <si>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</si>
  <si>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</si>
  <si>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</si>
  <si>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</si>
  <si>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</si>
  <si>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</si>
  <si>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</si>
  <si>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</si>
  <si>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</si>
  <si>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</si>
  <si>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</si>
  <si>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</si>
  <si>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</si>
  <si>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</si>
  <si>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</si>
  <si>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</si>
  <si>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</si>
  <si>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</si>
  <si>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</si>
  <si>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</si>
  <si>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</si>
  <si>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</si>
  <si>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</si>
  <si>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</si>
  <si>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</si>
  <si>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</si>
  <si>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</si>
  <si>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</si>
  <si>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</si>
  <si>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</si>
  <si>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</si>
  <si>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</si>
  <si>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</si>
  <si>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</si>
  <si>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</si>
  <si>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</si>
  <si>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</si>
  <si>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</si>
  <si>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</si>
  <si>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</si>
  <si>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</si>
  <si>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</si>
  <si>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</si>
  <si>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</si>
  <si>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</si>
  <si>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</si>
  <si>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</si>
  <si>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</si>
  <si>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</si>
  <si>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</si>
  <si>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</si>
  <si>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</si>
  <si>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</si>
  <si>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</si>
  <si>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</si>
  <si>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</si>
  <si>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</si>
  <si>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</si>
  <si>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</si>
  <si>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</si>
  <si>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</si>
  <si>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</si>
  <si>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</si>
  <si>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</si>
  <si>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</si>
  <si>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</si>
  <si>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</si>
  <si>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</si>
  <si>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</si>
  <si>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</si>
  <si>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</si>
  <si>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</si>
  <si>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</si>
  <si>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</si>
  <si>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</si>
  <si>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</si>
  <si>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</si>
  <si>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</si>
  <si>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</si>
  <si>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</si>
  <si>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</si>
  <si>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</si>
  <si>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</si>
  <si>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</si>
  <si>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</si>
  <si>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</si>
  <si>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</si>
  <si>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</si>
  <si>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</si>
  <si>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</si>
  <si>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</si>
  <si>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</si>
  <si>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</si>
  <si>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</si>
  <si>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</si>
  <si>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</si>
  <si>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</si>
  <si>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</si>
  <si>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</si>
  <si>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</si>
  <si>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</si>
  <si>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</si>
  <si>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</si>
  <si>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</si>
  <si>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</si>
  <si>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</si>
  <si>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</si>
  <si>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</si>
  <si>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</si>
  <si>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</si>
  <si>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</si>
  <si>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</si>
  <si>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</si>
  <si>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</si>
  <si>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</si>
  <si>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</si>
  <si>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</si>
  <si>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</si>
  <si>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</si>
  <si>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</si>
  <si>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</si>
  <si>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</si>
  <si>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</si>
  <si>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</si>
  <si>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</si>
  <si>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</si>
  <si>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</si>
  <si>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</si>
  <si>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</si>
  <si>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</si>
  <si>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</si>
  <si>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</si>
  <si>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</si>
  <si>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</si>
  <si>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</si>
  <si>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</si>
  <si>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</si>
  <si>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</si>
  <si>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</si>
  <si>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</si>
  <si>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</si>
  <si>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</si>
  <si>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</si>
  <si>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</si>
  <si>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</si>
  <si>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</si>
  <si>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</si>
  <si>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</si>
  <si>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</si>
  <si>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</si>
  <si>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</si>
  <si>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</si>
  <si>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</si>
  <si>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</si>
  <si>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</si>
  <si>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</si>
  <si>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</si>
  <si>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</si>
  <si>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</si>
  <si>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</si>
  <si>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</si>
  <si>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</si>
  <si>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</si>
  <si>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</si>
  <si>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</si>
  <si>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</si>
  <si>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</si>
  <si>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</si>
  <si>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</si>
  <si>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</si>
  <si>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</si>
  <si>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</si>
  <si>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</si>
  <si>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</si>
  <si>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</si>
  <si>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</si>
  <si>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</si>
  <si>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</si>
  <si>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</si>
  <si>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</si>
  <si>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</si>
  <si>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</si>
  <si>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</si>
  <si>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</si>
  <si>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</si>
  <si>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</si>
  <si>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</si>
  <si>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</si>
  <si>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</si>
  <si>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</si>
  <si>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</si>
  <si>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</si>
  <si>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</si>
  <si>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</si>
  <si>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</si>
  <si>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</si>
  <si>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</si>
  <si>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</si>
  <si>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</si>
  <si>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</si>
  <si>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</si>
  <si>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</si>
  <si>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</si>
  <si>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</si>
  <si>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</si>
  <si>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</si>
  <si>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</si>
  <si>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</si>
  <si>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</si>
  <si>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</si>
  <si>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</si>
  <si>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</si>
  <si>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</si>
  <si>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</si>
  <si>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</si>
  <si>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</si>
  <si>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</si>
  <si>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</si>
  <si>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</si>
  <si>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</si>
  <si>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</si>
  <si>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</si>
  <si>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</si>
  <si>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</si>
  <si>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</si>
  <si>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</si>
  <si>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</si>
  <si>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,</t>
  </si>
  <si>
    <t>Custo do jogo de pneus 275/80 R22,5</t>
  </si>
  <si>
    <t>Estoque recuperado início do Período 01-06-2018</t>
  </si>
  <si>
    <t>Estoque recuperado final do Período 30-06-2019</t>
  </si>
  <si>
    <t>* Considerado custo Ticket aliment. R$ 150,00 (na Convenção R$ 156,00 descontado do empregado R$ 6,00 de co-particip.) + vale de R$ 431,00.</t>
  </si>
  <si>
    <t>Observações importantes:</t>
  </si>
  <si>
    <t>1) O valor do salário mensal é o definido pelo básico da categoria, conforme Convenções Coletivas dos respectivos sindicatos;</t>
  </si>
  <si>
    <t>2) Alimentação e refeição, bem como as obrigações trabalhistas dos coletores e motoristas foram determinadas de acordo com as disposições das Convenções Coletivas vigentes;</t>
  </si>
  <si>
    <t>4) Estão sendo consideradas 8 (oito) horas de trabalho diárias, para coletores e motorista, sendo que já estão inclusas horas de coleta e transporte.</t>
  </si>
  <si>
    <t>3) Para os coletores foi observada a Convenção Coletiva 2020/2020 do Sindicato Intermunicipal dos Empregados em Empresas de Asseio e Conservação e Serviços Terceirizados em Asseio e Conservação no RGS; e para o motorista foi observada a Convenção Coletiva 2019/2020 do Sindicato dos Trabalhadores e Condutores de Veículos Rodoviários de SM e Região;</t>
  </si>
  <si>
    <t>5) A composição de encargos sociais segue os modelos do Tribunal de Contas do Estado do RS - observar e realizar na planilha o preenchimento da "aba 3.CAGED";</t>
  </si>
  <si>
    <t>6) No valor correspondente ao Custo de Manutenção - item 3.1.5 - já está incluso o custo de lavagens do veículo;</t>
  </si>
  <si>
    <t>7) O veículo que está sendo considerado para referência é veículo zero quilômetro. O valor considerado para o caminhão foi obtido na tabela FIPE, para o veículo Mercedes-Benz, modelo Atego 2426. O valor do coletor é a média do valor praticado por empresas do ramo.</t>
  </si>
  <si>
    <t>8) O veículo e o compactador que realizará os serviços deverá ter capacidade mínima de 19m3 e ano de fabricação não superior a 10 (dez) anos (máximo 10 anos em todo o período do contrato). A licitante deverá informar para o cálculo da depreciação a idade do veículo, marca e modelo (para conferência) e taxa de depreciação correspondente.</t>
  </si>
  <si>
    <t>9) Para o cálculo do BDI observar as referências mínimas e máximas constantes na "aba 4.BDI" da planilha de custos.</t>
  </si>
  <si>
    <t>10) As alíquotas utilizadas para ISS, PIS e COFINS, na planilha base, correspondem a uma empresa com tributação pelo lucro presumido. Cada licitante deverá utilizar as alíquotas de acordo com sua tributação, observada as orientações constantes do Edital.</t>
  </si>
  <si>
    <t>São Francisco de Assis, 15 de abril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</si>
</sst>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6" fontId="13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2" fontId="5" fillId="3" borderId="18" xfId="0" applyNumberFormat="1" applyFont="1" applyFill="1" applyBorder="1"/>
    <xf numFmtId="172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3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4" fontId="32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0" borderId="1" xfId="3" applyFont="1" applyBorder="1" applyAlignment="1">
      <alignment horizontal="center" vertical="center"/>
    </xf>
    <xf numFmtId="169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justify" wrapText="1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tabSelected="1" view="pageBreakPreview" topLeftCell="A268" zoomScale="120" zoomScaleNormal="100" zoomScaleSheetLayoutView="120" workbookViewId="0">
      <selection activeCell="E279" sqref="E279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2.140625" style="9" bestFit="1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 x14ac:dyDescent="0.2">
      <c r="A1" s="315" t="s">
        <v>224</v>
      </c>
      <c r="B1" s="316"/>
      <c r="C1" s="316"/>
      <c r="D1" s="316"/>
      <c r="E1" s="316"/>
      <c r="F1" s="317"/>
      <c r="G1" s="36"/>
    </row>
    <row r="2" spans="1:7" s="8" customFormat="1" ht="21.75" customHeight="1" x14ac:dyDescent="0.2">
      <c r="A2" s="318" t="s">
        <v>40</v>
      </c>
      <c r="B2" s="319"/>
      <c r="C2" s="319"/>
      <c r="D2" s="319"/>
      <c r="E2" s="319"/>
      <c r="F2" s="320"/>
      <c r="G2" s="36"/>
    </row>
    <row r="3" spans="1:7" s="4" customFormat="1" ht="10.9" customHeight="1" thickBot="1" x14ac:dyDescent="0.25">
      <c r="A3" s="151"/>
      <c r="B3" s="152"/>
      <c r="C3" s="152"/>
      <c r="D3" s="153"/>
      <c r="E3" s="153"/>
      <c r="F3" s="154"/>
      <c r="G3" s="6"/>
    </row>
    <row r="4" spans="1:7" s="4" customFormat="1" ht="15.75" customHeight="1" thickBot="1" x14ac:dyDescent="0.25">
      <c r="A4" s="324" t="s">
        <v>205</v>
      </c>
      <c r="B4" s="325"/>
      <c r="C4" s="325"/>
      <c r="D4" s="325"/>
      <c r="E4" s="325"/>
      <c r="F4" s="326"/>
      <c r="G4" s="6"/>
    </row>
    <row r="5" spans="1:7" s="4" customFormat="1" ht="15.75" customHeight="1" x14ac:dyDescent="0.2">
      <c r="A5" s="64" t="s">
        <v>204</v>
      </c>
      <c r="B5" s="40"/>
      <c r="C5" s="40"/>
      <c r="D5" s="254"/>
      <c r="E5" s="116" t="s">
        <v>35</v>
      </c>
      <c r="F5" s="41" t="s">
        <v>1</v>
      </c>
      <c r="G5" s="6"/>
    </row>
    <row r="6" spans="1:7" s="11" customFormat="1" ht="15.75" customHeight="1" x14ac:dyDescent="0.2">
      <c r="A6" s="126" t="str">
        <f>A43</f>
        <v>1. Mão-de-obra</v>
      </c>
      <c r="B6" s="127"/>
      <c r="C6" s="128"/>
      <c r="D6" s="128"/>
      <c r="E6" s="252">
        <f>+F113</f>
        <v>23628.495900117759</v>
      </c>
      <c r="F6" s="129">
        <f t="shared" ref="F6:F25" si="0">IFERROR(E6/$E$26,0)</f>
        <v>0.42384945369783533</v>
      </c>
      <c r="G6" s="44"/>
    </row>
    <row r="7" spans="1:7" s="4" customFormat="1" ht="15.75" customHeight="1" x14ac:dyDescent="0.2">
      <c r="A7" s="49" t="str">
        <f>A45</f>
        <v>1.1. Coletor Turno Dia</v>
      </c>
      <c r="B7" s="45"/>
      <c r="C7" s="47"/>
      <c r="D7" s="47"/>
      <c r="E7" s="253">
        <f>F53</f>
        <v>12960.071705557759</v>
      </c>
      <c r="F7" s="58">
        <f t="shared" si="0"/>
        <v>0.23247858583575995</v>
      </c>
      <c r="G7" s="6"/>
    </row>
    <row r="8" spans="1:7" s="4" customFormat="1" ht="15.75" customHeight="1" x14ac:dyDescent="0.2">
      <c r="A8" s="49" t="str">
        <f>A55</f>
        <v>1.2. Coletor Turno Noite</v>
      </c>
      <c r="B8" s="45"/>
      <c r="C8" s="47"/>
      <c r="D8" s="47"/>
      <c r="E8" s="253">
        <f>F65</f>
        <v>0</v>
      </c>
      <c r="F8" s="58">
        <f t="shared" si="0"/>
        <v>0</v>
      </c>
      <c r="G8" s="6"/>
    </row>
    <row r="9" spans="1:7" s="4" customFormat="1" ht="15.75" customHeight="1" x14ac:dyDescent="0.2">
      <c r="A9" s="49" t="str">
        <f>A67</f>
        <v>1.3. Motorista Turno do Dia</v>
      </c>
      <c r="B9" s="45"/>
      <c r="C9" s="47"/>
      <c r="D9" s="47"/>
      <c r="E9" s="253">
        <f>F77</f>
        <v>8570.3809945600005</v>
      </c>
      <c r="F9" s="58">
        <f t="shared" si="0"/>
        <v>0.15373603626240395</v>
      </c>
      <c r="G9" s="6"/>
    </row>
    <row r="10" spans="1:7" s="4" customFormat="1" ht="15.75" customHeight="1" x14ac:dyDescent="0.2">
      <c r="A10" s="49" t="str">
        <f>A79</f>
        <v>1.4. Motorista Turno Noite</v>
      </c>
      <c r="B10" s="45"/>
      <c r="C10" s="47"/>
      <c r="D10" s="47"/>
      <c r="E10" s="253">
        <f>F91</f>
        <v>0</v>
      </c>
      <c r="F10" s="58">
        <f t="shared" si="0"/>
        <v>0</v>
      </c>
      <c r="G10" s="6"/>
    </row>
    <row r="11" spans="1:7" s="4" customFormat="1" ht="15.75" customHeight="1" x14ac:dyDescent="0.2">
      <c r="A11" s="49" t="str">
        <f>A93</f>
        <v>1.5. Vale Transporte</v>
      </c>
      <c r="B11" s="45"/>
      <c r="C11" s="47"/>
      <c r="D11" s="47"/>
      <c r="E11" s="253">
        <f>F99</f>
        <v>-530.5752</v>
      </c>
      <c r="F11" s="58">
        <f t="shared" si="0"/>
        <v>-9.5174914906242056E-3</v>
      </c>
      <c r="G11" s="6"/>
    </row>
    <row r="12" spans="1:7" s="4" customFormat="1" ht="15.75" customHeight="1" x14ac:dyDescent="0.2">
      <c r="A12" s="49" t="str">
        <f>A101</f>
        <v>1.6. Vale-refeição (diário)</v>
      </c>
      <c r="B12" s="45"/>
      <c r="C12" s="47"/>
      <c r="D12" s="47"/>
      <c r="E12" s="253">
        <f>F105</f>
        <v>1466.6184000000001</v>
      </c>
      <c r="F12" s="58">
        <f t="shared" si="0"/>
        <v>2.6308293606623318E-2</v>
      </c>
      <c r="G12" s="6"/>
    </row>
    <row r="13" spans="1:7" s="4" customFormat="1" ht="15.75" customHeight="1" x14ac:dyDescent="0.2">
      <c r="A13" s="49" t="str">
        <f>A107</f>
        <v>1.7. Auxílio Alimentação (mensal)</v>
      </c>
      <c r="B13" s="45"/>
      <c r="C13" s="47"/>
      <c r="D13" s="47"/>
      <c r="E13" s="253">
        <f>F111</f>
        <v>1162</v>
      </c>
      <c r="F13" s="58">
        <f t="shared" si="0"/>
        <v>2.08440294836723E-2</v>
      </c>
      <c r="G13" s="6"/>
    </row>
    <row r="14" spans="1:7" s="11" customFormat="1" ht="15.75" customHeight="1" x14ac:dyDescent="0.2">
      <c r="A14" s="313" t="str">
        <f>A115</f>
        <v>2. Uniformes e Equipamentos de Proteção Individual</v>
      </c>
      <c r="B14" s="314"/>
      <c r="C14" s="314"/>
      <c r="D14" s="128"/>
      <c r="E14" s="252">
        <f>+F147</f>
        <v>1389</v>
      </c>
      <c r="F14" s="129">
        <f t="shared" si="0"/>
        <v>2.4915969838916373E-2</v>
      </c>
      <c r="G14" s="44"/>
    </row>
    <row r="15" spans="1:7" s="11" customFormat="1" ht="15.75" customHeight="1" x14ac:dyDescent="0.2">
      <c r="A15" s="137" t="str">
        <f>A149</f>
        <v>3. Veículos e Equipamentos</v>
      </c>
      <c r="B15" s="138"/>
      <c r="C15" s="128"/>
      <c r="D15" s="128"/>
      <c r="E15" s="252">
        <f>+F226</f>
        <v>18884.884042746664</v>
      </c>
      <c r="F15" s="129">
        <f t="shared" si="0"/>
        <v>0.3387582442192289</v>
      </c>
      <c r="G15" s="44"/>
    </row>
    <row r="16" spans="1:7" s="4" customFormat="1" ht="15.75" customHeight="1" x14ac:dyDescent="0.2">
      <c r="A16" s="65" t="str">
        <f>A151</f>
        <v>3.1. Veículo Coletor Compactador 19 m³</v>
      </c>
      <c r="B16" s="46"/>
      <c r="C16" s="47"/>
      <c r="D16" s="47"/>
      <c r="E16" s="253">
        <f>SUM(E17:E22)</f>
        <v>18884.884042746664</v>
      </c>
      <c r="F16" s="144">
        <f t="shared" si="0"/>
        <v>0.3387582442192289</v>
      </c>
      <c r="G16" s="6"/>
    </row>
    <row r="17" spans="1:7" s="4" customFormat="1" ht="15.75" customHeight="1" x14ac:dyDescent="0.2">
      <c r="A17" s="65" t="str">
        <f>A153</f>
        <v>3.1.1. Depreciação</v>
      </c>
      <c r="B17" s="46"/>
      <c r="C17" s="47"/>
      <c r="D17" s="47"/>
      <c r="E17" s="253">
        <f>F167</f>
        <v>2629.3458900000005</v>
      </c>
      <c r="F17" s="144">
        <f t="shared" si="0"/>
        <v>4.7165372851921336E-2</v>
      </c>
      <c r="G17" s="6"/>
    </row>
    <row r="18" spans="1:7" s="4" customFormat="1" ht="15.75" customHeight="1" x14ac:dyDescent="0.2">
      <c r="A18" s="65" t="str">
        <f>A169</f>
        <v>3.1.2. Remuneração do Capital</v>
      </c>
      <c r="B18" s="46"/>
      <c r="C18" s="47"/>
      <c r="D18" s="47"/>
      <c r="E18" s="253">
        <f>F183</f>
        <v>1308.60108608</v>
      </c>
      <c r="F18" s="144">
        <f t="shared" si="0"/>
        <v>2.3473769036675658E-2</v>
      </c>
      <c r="G18" s="6"/>
    </row>
    <row r="19" spans="1:7" s="4" customFormat="1" ht="15.75" customHeight="1" x14ac:dyDescent="0.2">
      <c r="A19" s="65" t="str">
        <f>A185</f>
        <v>3.1.3. Impostos e Seguros</v>
      </c>
      <c r="B19" s="46"/>
      <c r="C19" s="47"/>
      <c r="D19" s="47"/>
      <c r="E19" s="253">
        <f>F191</f>
        <v>381.70833333333331</v>
      </c>
      <c r="F19" s="144">
        <f t="shared" si="0"/>
        <v>6.8471082221716129E-3</v>
      </c>
      <c r="G19" s="6"/>
    </row>
    <row r="20" spans="1:7" s="4" customFormat="1" ht="15.75" customHeight="1" x14ac:dyDescent="0.2">
      <c r="A20" s="65" t="str">
        <f>A193</f>
        <v>3.1.4. Consumos</v>
      </c>
      <c r="B20" s="46"/>
      <c r="C20" s="47"/>
      <c r="D20" s="47"/>
      <c r="E20" s="253">
        <f>F209</f>
        <v>8861.8953999999994</v>
      </c>
      <c r="F20" s="144">
        <f t="shared" si="0"/>
        <v>0.15896524010225466</v>
      </c>
      <c r="G20" s="6"/>
    </row>
    <row r="21" spans="1:7" s="4" customFormat="1" ht="15.75" customHeight="1" x14ac:dyDescent="0.2">
      <c r="A21" s="65" t="str">
        <f>A211</f>
        <v>3.1.5. Manutenção</v>
      </c>
      <c r="B21" s="46"/>
      <c r="C21" s="47"/>
      <c r="D21" s="47"/>
      <c r="E21" s="253">
        <f>F214</f>
        <v>4350</v>
      </c>
      <c r="F21" s="144">
        <f t="shared" si="0"/>
        <v>7.8030575089478915E-2</v>
      </c>
      <c r="G21" s="6"/>
    </row>
    <row r="22" spans="1:7" s="4" customFormat="1" ht="15.75" customHeight="1" x14ac:dyDescent="0.2">
      <c r="A22" s="65" t="str">
        <f>A216</f>
        <v>3.1.6. Pneus</v>
      </c>
      <c r="B22" s="46"/>
      <c r="C22" s="47"/>
      <c r="D22" s="47"/>
      <c r="E22" s="253">
        <f>F223</f>
        <v>1353.3333333333333</v>
      </c>
      <c r="F22" s="144">
        <f t="shared" si="0"/>
        <v>2.4276178916726773E-2</v>
      </c>
      <c r="G22" s="6"/>
    </row>
    <row r="23" spans="1:7" s="11" customFormat="1" ht="15.75" customHeight="1" x14ac:dyDescent="0.2">
      <c r="A23" s="137" t="str">
        <f>A228</f>
        <v>4. Ferramentas e Materiais de Consumo</v>
      </c>
      <c r="B23" s="138"/>
      <c r="C23" s="128"/>
      <c r="D23" s="128"/>
      <c r="E23" s="252">
        <f>+F238</f>
        <v>33.333333333333329</v>
      </c>
      <c r="F23" s="129">
        <f t="shared" si="0"/>
        <v>5.9793544129868896E-4</v>
      </c>
      <c r="G23" s="44"/>
    </row>
    <row r="24" spans="1:7" s="11" customFormat="1" ht="15.75" customHeight="1" x14ac:dyDescent="0.2">
      <c r="A24" s="137" t="str">
        <f>A240</f>
        <v>5. Monitoramento da Frota</v>
      </c>
      <c r="B24" s="138"/>
      <c r="C24" s="128"/>
      <c r="D24" s="128"/>
      <c r="E24" s="252">
        <f>+F249</f>
        <v>81.166666666666671</v>
      </c>
      <c r="F24" s="129">
        <f t="shared" si="0"/>
        <v>1.4559727995623079E-3</v>
      </c>
      <c r="G24" s="44"/>
    </row>
    <row r="25" spans="1:7" s="11" customFormat="1" ht="15.75" customHeight="1" thickBot="1" x14ac:dyDescent="0.25">
      <c r="A25" s="137" t="str">
        <f>A253</f>
        <v>6. Benefícios e Despesas Indiretas - BDI</v>
      </c>
      <c r="B25" s="138"/>
      <c r="C25" s="128"/>
      <c r="D25" s="128"/>
      <c r="E25" s="307">
        <f>+F259</f>
        <v>11730.498504773372</v>
      </c>
      <c r="F25" s="129">
        <f t="shared" si="0"/>
        <v>0.21042242400315833</v>
      </c>
      <c r="G25" s="44"/>
    </row>
    <row r="26" spans="1:7" s="4" customFormat="1" ht="15.75" customHeight="1" thickBot="1" x14ac:dyDescent="0.25">
      <c r="A26" s="42" t="s">
        <v>244</v>
      </c>
      <c r="B26" s="43"/>
      <c r="C26" s="26"/>
      <c r="D26" s="26"/>
      <c r="E26" s="115">
        <f>E6+E14+E15+E23+E24+E25</f>
        <v>55747.378447637799</v>
      </c>
      <c r="F26" s="143">
        <f>F6+F14+F15+F23+F24+F25</f>
        <v>1</v>
      </c>
      <c r="G26" s="6"/>
    </row>
    <row r="28" spans="1:7" ht="13.5" thickBot="1" x14ac:dyDescent="0.25"/>
    <row r="29" spans="1:7" s="4" customFormat="1" ht="15" customHeight="1" thickBot="1" x14ac:dyDescent="0.25">
      <c r="A29" s="324" t="s">
        <v>96</v>
      </c>
      <c r="B29" s="325"/>
      <c r="C29" s="325"/>
      <c r="D29" s="325"/>
      <c r="E29" s="326"/>
      <c r="F29" s="10"/>
      <c r="G29" s="6"/>
    </row>
    <row r="30" spans="1:7" s="4" customFormat="1" ht="15" customHeight="1" thickBot="1" x14ac:dyDescent="0.25">
      <c r="A30" s="321" t="s">
        <v>36</v>
      </c>
      <c r="B30" s="322"/>
      <c r="C30" s="322"/>
      <c r="D30" s="323"/>
      <c r="E30" s="48" t="s">
        <v>37</v>
      </c>
      <c r="F30" s="10"/>
      <c r="G30" s="6"/>
    </row>
    <row r="31" spans="1:7" s="4" customFormat="1" ht="15" customHeight="1" x14ac:dyDescent="0.2">
      <c r="A31" s="73" t="str">
        <f>+A45</f>
        <v>1.1. Coletor Turno Dia</v>
      </c>
      <c r="B31" s="74"/>
      <c r="C31" s="74"/>
      <c r="D31" s="75"/>
      <c r="E31" s="76">
        <f>C52</f>
        <v>4</v>
      </c>
      <c r="F31" s="10"/>
      <c r="G31" s="6"/>
    </row>
    <row r="32" spans="1:7" s="4" customFormat="1" ht="15" customHeight="1" x14ac:dyDescent="0.2">
      <c r="A32" s="67" t="str">
        <f>+A55</f>
        <v>1.2. Coletor Turno Noite</v>
      </c>
      <c r="B32" s="66"/>
      <c r="C32" s="66"/>
      <c r="D32" s="77"/>
      <c r="E32" s="70">
        <f>C64</f>
        <v>0</v>
      </c>
      <c r="F32" s="10"/>
      <c r="G32" s="6"/>
    </row>
    <row r="33" spans="1:7" s="4" customFormat="1" ht="15" customHeight="1" x14ac:dyDescent="0.2">
      <c r="A33" s="67" t="str">
        <f>+A67</f>
        <v>1.3. Motorista Turno do Dia</v>
      </c>
      <c r="B33" s="66"/>
      <c r="C33" s="66"/>
      <c r="D33" s="77"/>
      <c r="E33" s="70">
        <f>C76</f>
        <v>2</v>
      </c>
      <c r="F33" s="10"/>
      <c r="G33" s="6"/>
    </row>
    <row r="34" spans="1:7" s="4" customFormat="1" ht="15" customHeight="1" x14ac:dyDescent="0.2">
      <c r="A34" s="67" t="str">
        <f>+A79</f>
        <v>1.4. Motorista Turno Noite</v>
      </c>
      <c r="B34" s="66"/>
      <c r="C34" s="66"/>
      <c r="D34" s="77"/>
      <c r="E34" s="70">
        <f>C90</f>
        <v>0</v>
      </c>
      <c r="F34" s="10"/>
      <c r="G34" s="6"/>
    </row>
    <row r="35" spans="1:7" s="4" customFormat="1" ht="15" customHeight="1" thickBot="1" x14ac:dyDescent="0.25">
      <c r="A35" s="71" t="s">
        <v>56</v>
      </c>
      <c r="B35" s="72"/>
      <c r="C35" s="72"/>
      <c r="D35" s="78"/>
      <c r="E35" s="79">
        <f>SUM(E31:E34)</f>
        <v>6</v>
      </c>
      <c r="F35" s="10"/>
      <c r="G35" s="6"/>
    </row>
    <row r="36" spans="1:7" s="4" customFormat="1" ht="15" customHeight="1" thickBot="1" x14ac:dyDescent="0.25">
      <c r="A36" s="130"/>
      <c r="B36" s="131"/>
      <c r="C36" s="59"/>
      <c r="D36" s="59"/>
      <c r="E36" s="132"/>
      <c r="F36" s="10"/>
      <c r="G36" s="6"/>
    </row>
    <row r="37" spans="1:7" s="4" customFormat="1" ht="15" customHeight="1" x14ac:dyDescent="0.2">
      <c r="A37" s="311" t="s">
        <v>53</v>
      </c>
      <c r="B37" s="312"/>
      <c r="C37" s="312"/>
      <c r="D37" s="312"/>
      <c r="E37" s="48" t="s">
        <v>37</v>
      </c>
      <c r="F37" s="9"/>
      <c r="G37" s="6"/>
    </row>
    <row r="38" spans="1:7" s="4" customFormat="1" ht="15" customHeight="1" thickBot="1" x14ac:dyDescent="0.25">
      <c r="A38" s="133" t="str">
        <f>+A151</f>
        <v>3.1. Veículo Coletor Compactador 19 m³</v>
      </c>
      <c r="B38" s="134"/>
      <c r="C38" s="134"/>
      <c r="D38" s="135"/>
      <c r="E38" s="136">
        <f>C166</f>
        <v>1</v>
      </c>
      <c r="F38" s="9"/>
      <c r="G38" s="6"/>
    </row>
    <row r="39" spans="1:7" s="4" customFormat="1" ht="15" customHeight="1" x14ac:dyDescent="0.2">
      <c r="A39" s="59"/>
      <c r="B39" s="59"/>
      <c r="C39" s="59"/>
      <c r="D39" s="54"/>
      <c r="E39" s="251"/>
      <c r="F39" s="9"/>
      <c r="G39" s="6"/>
    </row>
    <row r="40" spans="1:7" s="4" customFormat="1" ht="13.5" thickBot="1" x14ac:dyDescent="0.25">
      <c r="A40" s="59"/>
      <c r="B40" s="59"/>
      <c r="C40" s="59"/>
      <c r="D40" s="54"/>
      <c r="E40" s="68"/>
      <c r="F40" s="9"/>
      <c r="G40" s="6"/>
    </row>
    <row r="41" spans="1:7" s="11" customFormat="1" ht="15.75" customHeight="1" thickBot="1" x14ac:dyDescent="0.25">
      <c r="A41" s="255" t="s">
        <v>199</v>
      </c>
      <c r="B41" s="256">
        <v>1</v>
      </c>
      <c r="C41" s="35"/>
      <c r="D41" s="34"/>
      <c r="E41" s="156"/>
      <c r="G41" s="44"/>
    </row>
    <row r="42" spans="1:7" s="4" customFormat="1" ht="15.75" customHeight="1" x14ac:dyDescent="0.2">
      <c r="A42" s="59"/>
      <c r="B42" s="59"/>
      <c r="C42" s="59"/>
      <c r="D42" s="54"/>
      <c r="E42" s="68"/>
      <c r="F42" s="9"/>
      <c r="G42" s="6"/>
    </row>
    <row r="43" spans="1:7" ht="13.15" customHeight="1" x14ac:dyDescent="0.2">
      <c r="A43" s="11" t="s">
        <v>44</v>
      </c>
    </row>
    <row r="44" spans="1:7" ht="11.25" customHeight="1" x14ac:dyDescent="0.2"/>
    <row r="45" spans="1:7" ht="13.9" customHeight="1" thickBot="1" x14ac:dyDescent="0.25">
      <c r="A45" s="9" t="s">
        <v>98</v>
      </c>
    </row>
    <row r="46" spans="1:7" ht="13.9" customHeight="1" thickBot="1" x14ac:dyDescent="0.25">
      <c r="A46" s="60" t="s">
        <v>61</v>
      </c>
      <c r="B46" s="61" t="s">
        <v>62</v>
      </c>
      <c r="C46" s="61" t="s">
        <v>37</v>
      </c>
      <c r="D46" s="62" t="s">
        <v>240</v>
      </c>
      <c r="E46" s="62" t="s">
        <v>63</v>
      </c>
      <c r="F46" s="63" t="s">
        <v>64</v>
      </c>
    </row>
    <row r="47" spans="1:7" ht="13.15" customHeight="1" x14ac:dyDescent="0.2">
      <c r="A47" s="13" t="s">
        <v>220</v>
      </c>
      <c r="B47" s="14" t="s">
        <v>7</v>
      </c>
      <c r="C47" s="14">
        <v>1</v>
      </c>
      <c r="D47" s="87">
        <v>1330.73</v>
      </c>
      <c r="E47" s="15">
        <f>C47*D47</f>
        <v>1330.73</v>
      </c>
    </row>
    <row r="48" spans="1:7" x14ac:dyDescent="0.2">
      <c r="A48" s="16" t="s">
        <v>0</v>
      </c>
      <c r="B48" s="17" t="s">
        <v>1</v>
      </c>
      <c r="C48" s="17">
        <v>40</v>
      </c>
      <c r="D48" s="83">
        <f>SUM(E47:E47)</f>
        <v>1330.73</v>
      </c>
      <c r="E48" s="18">
        <f>C48*D48/100</f>
        <v>532.29199999999992</v>
      </c>
    </row>
    <row r="49" spans="1:7" x14ac:dyDescent="0.2">
      <c r="A49" s="117" t="s">
        <v>2</v>
      </c>
      <c r="B49" s="118"/>
      <c r="C49" s="118"/>
      <c r="D49" s="119"/>
      <c r="E49" s="120">
        <f>SUM(E47:E48)</f>
        <v>1863.0219999999999</v>
      </c>
    </row>
    <row r="50" spans="1:7" x14ac:dyDescent="0.2">
      <c r="A50" s="16" t="s">
        <v>3</v>
      </c>
      <c r="B50" s="17" t="s">
        <v>1</v>
      </c>
      <c r="C50" s="141">
        <f>'2.Encargos Sociais'!$C$37*100</f>
        <v>73.911951999999999</v>
      </c>
      <c r="D50" s="18">
        <f>E49</f>
        <v>1863.0219999999999</v>
      </c>
      <c r="E50" s="18">
        <f>D50*C50/100</f>
        <v>1376.9959263894398</v>
      </c>
    </row>
    <row r="51" spans="1:7" x14ac:dyDescent="0.2">
      <c r="A51" s="117" t="s">
        <v>70</v>
      </c>
      <c r="B51" s="118"/>
      <c r="C51" s="118"/>
      <c r="D51" s="119"/>
      <c r="E51" s="120">
        <f>E49+E50</f>
        <v>3240.0179263894397</v>
      </c>
    </row>
    <row r="52" spans="1:7" ht="13.5" thickBot="1" x14ac:dyDescent="0.25">
      <c r="A52" s="16" t="s">
        <v>4</v>
      </c>
      <c r="B52" s="17" t="s">
        <v>5</v>
      </c>
      <c r="C52" s="86">
        <v>4</v>
      </c>
      <c r="D52" s="18">
        <f>E51</f>
        <v>3240.0179263894397</v>
      </c>
      <c r="E52" s="18">
        <f>C52*D52</f>
        <v>12960.071705557759</v>
      </c>
      <c r="G52" s="6"/>
    </row>
    <row r="53" spans="1:7" ht="13.9" customHeight="1" thickBot="1" x14ac:dyDescent="0.25">
      <c r="D53" s="124" t="s">
        <v>198</v>
      </c>
      <c r="E53" s="50">
        <f>$B$41</f>
        <v>1</v>
      </c>
      <c r="F53" s="125">
        <f>E52*E53</f>
        <v>12960.071705557759</v>
      </c>
      <c r="G53" s="6"/>
    </row>
    <row r="54" spans="1:7" ht="11.25" customHeight="1" x14ac:dyDescent="0.2"/>
    <row r="55" spans="1:7" ht="13.5" thickBot="1" x14ac:dyDescent="0.25">
      <c r="A55" s="9" t="s">
        <v>89</v>
      </c>
    </row>
    <row r="56" spans="1:7" ht="13.5" thickBot="1" x14ac:dyDescent="0.25">
      <c r="A56" s="60" t="s">
        <v>61</v>
      </c>
      <c r="B56" s="61" t="s">
        <v>62</v>
      </c>
      <c r="C56" s="61" t="s">
        <v>37</v>
      </c>
      <c r="D56" s="62" t="s">
        <v>240</v>
      </c>
      <c r="E56" s="62" t="s">
        <v>63</v>
      </c>
      <c r="F56" s="63" t="s">
        <v>64</v>
      </c>
    </row>
    <row r="57" spans="1:7" x14ac:dyDescent="0.2">
      <c r="A57" s="13" t="s">
        <v>220</v>
      </c>
      <c r="B57" s="14" t="s">
        <v>7</v>
      </c>
      <c r="C57" s="14">
        <v>1</v>
      </c>
      <c r="D57" s="15">
        <f>D47</f>
        <v>1330.73</v>
      </c>
      <c r="E57" s="15">
        <f>C57*D57</f>
        <v>1330.73</v>
      </c>
    </row>
    <row r="58" spans="1:7" x14ac:dyDescent="0.2">
      <c r="A58" s="16" t="s">
        <v>6</v>
      </c>
      <c r="B58" s="17" t="s">
        <v>97</v>
      </c>
      <c r="C58" s="88"/>
      <c r="D58" s="18"/>
      <c r="E58" s="18"/>
    </row>
    <row r="59" spans="1:7" x14ac:dyDescent="0.2">
      <c r="A59" s="16"/>
      <c r="B59" s="17" t="s">
        <v>101</v>
      </c>
      <c r="C59" s="121">
        <f>C58*8/7</f>
        <v>0</v>
      </c>
      <c r="D59" s="18">
        <f>D57/220*0.2</f>
        <v>1.2097545454545455</v>
      </c>
      <c r="E59" s="18">
        <f>C58*D59</f>
        <v>0</v>
      </c>
    </row>
    <row r="60" spans="1:7" x14ac:dyDescent="0.2">
      <c r="A60" s="16" t="s">
        <v>0</v>
      </c>
      <c r="B60" s="17" t="s">
        <v>1</v>
      </c>
      <c r="C60" s="17">
        <f>+C48</f>
        <v>40</v>
      </c>
      <c r="D60" s="83">
        <f>SUM(E57:E59)</f>
        <v>1330.73</v>
      </c>
      <c r="E60" s="18">
        <f>C60*D60/100</f>
        <v>532.29199999999992</v>
      </c>
    </row>
    <row r="61" spans="1:7" x14ac:dyDescent="0.2">
      <c r="A61" s="117" t="s">
        <v>2</v>
      </c>
      <c r="B61" s="118"/>
      <c r="C61" s="118"/>
      <c r="D61" s="119"/>
      <c r="E61" s="120">
        <f>SUM(E57:E60)</f>
        <v>1863.0219999999999</v>
      </c>
    </row>
    <row r="62" spans="1:7" x14ac:dyDescent="0.2">
      <c r="A62" s="16" t="s">
        <v>3</v>
      </c>
      <c r="B62" s="17" t="s">
        <v>1</v>
      </c>
      <c r="C62" s="141">
        <f>'2.Encargos Sociais'!$C$37*100</f>
        <v>73.911951999999999</v>
      </c>
      <c r="D62" s="18">
        <f>E61</f>
        <v>1863.0219999999999</v>
      </c>
      <c r="E62" s="18">
        <f>D62*C62/100</f>
        <v>1376.9959263894398</v>
      </c>
    </row>
    <row r="63" spans="1:7" x14ac:dyDescent="0.2">
      <c r="A63" s="117" t="s">
        <v>70</v>
      </c>
      <c r="B63" s="118"/>
      <c r="C63" s="118"/>
      <c r="D63" s="119"/>
      <c r="E63" s="120">
        <f>E61+E62</f>
        <v>3240.0179263894397</v>
      </c>
    </row>
    <row r="64" spans="1:7" ht="13.5" thickBot="1" x14ac:dyDescent="0.25">
      <c r="A64" s="16" t="s">
        <v>4</v>
      </c>
      <c r="B64" s="17" t="s">
        <v>5</v>
      </c>
      <c r="C64" s="86"/>
      <c r="D64" s="18">
        <f>E63</f>
        <v>3240.0179263894397</v>
      </c>
      <c r="E64" s="18">
        <f>C64*D64</f>
        <v>0</v>
      </c>
    </row>
    <row r="65" spans="1:7" ht="13.5" thickBot="1" x14ac:dyDescent="0.25">
      <c r="D65" s="124" t="s">
        <v>198</v>
      </c>
      <c r="E65" s="50">
        <f>$B$41</f>
        <v>1</v>
      </c>
      <c r="F65" s="125">
        <f>E64*E65</f>
        <v>0</v>
      </c>
    </row>
    <row r="66" spans="1:7" ht="11.25" customHeight="1" x14ac:dyDescent="0.2"/>
    <row r="67" spans="1:7" ht="13.5" thickBot="1" x14ac:dyDescent="0.25">
      <c r="A67" s="9" t="s">
        <v>99</v>
      </c>
    </row>
    <row r="68" spans="1:7" s="12" customFormat="1" ht="13.15" customHeight="1" thickBot="1" x14ac:dyDescent="0.25">
      <c r="A68" s="60" t="s">
        <v>61</v>
      </c>
      <c r="B68" s="61" t="s">
        <v>62</v>
      </c>
      <c r="C68" s="61" t="s">
        <v>37</v>
      </c>
      <c r="D68" s="62" t="s">
        <v>240</v>
      </c>
      <c r="E68" s="62" t="s">
        <v>63</v>
      </c>
      <c r="F68" s="63" t="s">
        <v>64</v>
      </c>
      <c r="G68" s="10"/>
    </row>
    <row r="69" spans="1:7" x14ac:dyDescent="0.2">
      <c r="A69" s="300" t="s">
        <v>292</v>
      </c>
      <c r="B69" s="14" t="s">
        <v>7</v>
      </c>
      <c r="C69" s="14">
        <v>1</v>
      </c>
      <c r="D69" s="87">
        <v>1760</v>
      </c>
      <c r="E69" s="15">
        <f>C69*D69</f>
        <v>1760</v>
      </c>
    </row>
    <row r="70" spans="1:7" x14ac:dyDescent="0.2">
      <c r="A70" s="300" t="s">
        <v>293</v>
      </c>
      <c r="B70" s="14" t="s">
        <v>7</v>
      </c>
      <c r="C70" s="14">
        <v>1</v>
      </c>
      <c r="D70" s="87">
        <v>1045</v>
      </c>
      <c r="E70" s="15"/>
    </row>
    <row r="71" spans="1:7" x14ac:dyDescent="0.2">
      <c r="A71" s="16" t="s">
        <v>221</v>
      </c>
      <c r="B71" s="17"/>
      <c r="C71" s="90">
        <v>2</v>
      </c>
      <c r="D71" s="18"/>
      <c r="E71" s="18"/>
    </row>
    <row r="72" spans="1:7" x14ac:dyDescent="0.2">
      <c r="A72" s="16" t="s">
        <v>0</v>
      </c>
      <c r="B72" s="17" t="s">
        <v>1</v>
      </c>
      <c r="C72" s="86">
        <v>40</v>
      </c>
      <c r="D72" s="83">
        <f>IF(C71=2,SUM(E69:E70),IF(C71=1,(SUM(E69:E70))*D70/D69,0))</f>
        <v>1760</v>
      </c>
      <c r="E72" s="18">
        <f>C72*D72/100</f>
        <v>704</v>
      </c>
    </row>
    <row r="73" spans="1:7" s="11" customFormat="1" x14ac:dyDescent="0.2">
      <c r="A73" s="103" t="s">
        <v>2</v>
      </c>
      <c r="B73" s="118"/>
      <c r="C73" s="118"/>
      <c r="D73" s="119"/>
      <c r="E73" s="105">
        <f>SUM(E69:E72)</f>
        <v>2464</v>
      </c>
      <c r="F73" s="44"/>
      <c r="G73" s="44"/>
    </row>
    <row r="74" spans="1:7" x14ac:dyDescent="0.2">
      <c r="A74" s="16" t="s">
        <v>3</v>
      </c>
      <c r="B74" s="17" t="s">
        <v>1</v>
      </c>
      <c r="C74" s="141">
        <f>'2.Encargos Sociais'!$C$37*100</f>
        <v>73.911951999999999</v>
      </c>
      <c r="D74" s="18">
        <f>E73</f>
        <v>2464</v>
      </c>
      <c r="E74" s="18">
        <f>D74*C74/100</f>
        <v>1821.19049728</v>
      </c>
    </row>
    <row r="75" spans="1:7" s="11" customFormat="1" x14ac:dyDescent="0.2">
      <c r="A75" s="103" t="s">
        <v>256</v>
      </c>
      <c r="B75" s="262"/>
      <c r="C75" s="262"/>
      <c r="D75" s="263"/>
      <c r="E75" s="105">
        <f>E73+E74</f>
        <v>4285.1904972800003</v>
      </c>
      <c r="F75" s="44"/>
      <c r="G75" s="44"/>
    </row>
    <row r="76" spans="1:7" ht="13.5" thickBot="1" x14ac:dyDescent="0.25">
      <c r="A76" s="16" t="s">
        <v>4</v>
      </c>
      <c r="B76" s="17" t="s">
        <v>5</v>
      </c>
      <c r="C76" s="86">
        <v>2</v>
      </c>
      <c r="D76" s="18">
        <f>E75</f>
        <v>4285.1904972800003</v>
      </c>
      <c r="E76" s="18">
        <f>C76*D76</f>
        <v>8570.3809945600005</v>
      </c>
    </row>
    <row r="77" spans="1:7" ht="13.5" thickBot="1" x14ac:dyDescent="0.25">
      <c r="D77" s="124" t="s">
        <v>198</v>
      </c>
      <c r="E77" s="50">
        <f>$B$41</f>
        <v>1</v>
      </c>
      <c r="F77" s="125">
        <f>E76*E77</f>
        <v>8570.3809945600005</v>
      </c>
    </row>
    <row r="78" spans="1:7" ht="11.25" customHeight="1" x14ac:dyDescent="0.2"/>
    <row r="79" spans="1:7" ht="13.5" thickBot="1" x14ac:dyDescent="0.25">
      <c r="A79" s="9" t="s">
        <v>100</v>
      </c>
    </row>
    <row r="80" spans="1:7" ht="13.5" thickBot="1" x14ac:dyDescent="0.25">
      <c r="A80" s="60" t="s">
        <v>61</v>
      </c>
      <c r="B80" s="61" t="s">
        <v>62</v>
      </c>
      <c r="C80" s="61" t="s">
        <v>37</v>
      </c>
      <c r="D80" s="62" t="s">
        <v>240</v>
      </c>
      <c r="E80" s="62" t="s">
        <v>63</v>
      </c>
      <c r="F80" s="63" t="s">
        <v>64</v>
      </c>
    </row>
    <row r="81" spans="1:7" x14ac:dyDescent="0.2">
      <c r="A81" s="300" t="s">
        <v>292</v>
      </c>
      <c r="B81" s="14" t="s">
        <v>7</v>
      </c>
      <c r="C81" s="14">
        <v>1</v>
      </c>
      <c r="D81" s="15">
        <f>D69</f>
        <v>1760</v>
      </c>
      <c r="E81" s="15">
        <f>C81*D81</f>
        <v>1760</v>
      </c>
    </row>
    <row r="82" spans="1:7" x14ac:dyDescent="0.2">
      <c r="A82" s="300" t="s">
        <v>293</v>
      </c>
      <c r="B82" s="14" t="s">
        <v>7</v>
      </c>
      <c r="C82" s="14">
        <v>1</v>
      </c>
      <c r="D82" s="18">
        <f>D70</f>
        <v>1045</v>
      </c>
      <c r="E82" s="18"/>
    </row>
    <row r="83" spans="1:7" x14ac:dyDescent="0.2">
      <c r="A83" s="16" t="s">
        <v>6</v>
      </c>
      <c r="B83" s="17" t="s">
        <v>97</v>
      </c>
      <c r="C83" s="88"/>
      <c r="D83" s="16"/>
      <c r="E83" s="16"/>
    </row>
    <row r="84" spans="1:7" x14ac:dyDescent="0.2">
      <c r="A84" s="16"/>
      <c r="B84" s="17" t="s">
        <v>101</v>
      </c>
      <c r="C84" s="18">
        <f>C83*8/7</f>
        <v>0</v>
      </c>
      <c r="D84" s="18">
        <f>D81/220*0.2</f>
        <v>1.6</v>
      </c>
      <c r="E84" s="18">
        <f>C83*D84</f>
        <v>0</v>
      </c>
    </row>
    <row r="85" spans="1:7" x14ac:dyDescent="0.2">
      <c r="A85" s="16" t="s">
        <v>221</v>
      </c>
      <c r="B85" s="17"/>
      <c r="C85" s="90"/>
      <c r="D85" s="18"/>
      <c r="E85" s="18"/>
    </row>
    <row r="86" spans="1:7" x14ac:dyDescent="0.2">
      <c r="A86" s="16" t="s">
        <v>0</v>
      </c>
      <c r="B86" s="17" t="s">
        <v>1</v>
      </c>
      <c r="C86" s="83">
        <f>+C72</f>
        <v>40</v>
      </c>
      <c r="D86" s="83">
        <f>IF(C85=2,SUM(E81:E84),IF(C85=1,SUM(E81:E84)*D82/D81,0))</f>
        <v>0</v>
      </c>
      <c r="E86" s="18">
        <f>C86*D86/100</f>
        <v>0</v>
      </c>
    </row>
    <row r="87" spans="1:7" s="11" customFormat="1" x14ac:dyDescent="0.2">
      <c r="A87" s="117" t="s">
        <v>2</v>
      </c>
      <c r="B87" s="118"/>
      <c r="C87" s="118"/>
      <c r="D87" s="119"/>
      <c r="E87" s="120">
        <f>SUM(E81:E86)</f>
        <v>1760</v>
      </c>
      <c r="F87" s="44"/>
      <c r="G87" s="44"/>
    </row>
    <row r="88" spans="1:7" x14ac:dyDescent="0.2">
      <c r="A88" s="16" t="s">
        <v>3</v>
      </c>
      <c r="B88" s="17" t="s">
        <v>1</v>
      </c>
      <c r="C88" s="141">
        <f>'2.Encargos Sociais'!$C$37*100</f>
        <v>73.911951999999999</v>
      </c>
      <c r="D88" s="18">
        <f>E87</f>
        <v>1760</v>
      </c>
      <c r="E88" s="18">
        <f>D88*C88/100</f>
        <v>1300.8503552</v>
      </c>
    </row>
    <row r="89" spans="1:7" s="11" customFormat="1" x14ac:dyDescent="0.2">
      <c r="A89" s="117" t="s">
        <v>256</v>
      </c>
      <c r="B89" s="118"/>
      <c r="C89" s="118"/>
      <c r="D89" s="119"/>
      <c r="E89" s="120">
        <f>E87+E88</f>
        <v>3060.8503552000002</v>
      </c>
      <c r="F89" s="44"/>
      <c r="G89" s="44"/>
    </row>
    <row r="90" spans="1:7" ht="13.5" thickBot="1" x14ac:dyDescent="0.25">
      <c r="A90" s="16" t="s">
        <v>4</v>
      </c>
      <c r="B90" s="17" t="s">
        <v>5</v>
      </c>
      <c r="C90" s="86"/>
      <c r="D90" s="18">
        <f>E89</f>
        <v>3060.8503552000002</v>
      </c>
      <c r="E90" s="18">
        <f>C90*D90</f>
        <v>0</v>
      </c>
    </row>
    <row r="91" spans="1:7" ht="13.5" thickBot="1" x14ac:dyDescent="0.25">
      <c r="D91" s="124" t="s">
        <v>198</v>
      </c>
      <c r="E91" s="50">
        <f>$B$41</f>
        <v>1</v>
      </c>
      <c r="F91" s="125">
        <f>E90*E91</f>
        <v>0</v>
      </c>
    </row>
    <row r="92" spans="1:7" ht="11.25" customHeight="1" x14ac:dyDescent="0.2">
      <c r="G92" s="9"/>
    </row>
    <row r="93" spans="1:7" ht="13.5" thickBot="1" x14ac:dyDescent="0.25">
      <c r="A93" s="9" t="s">
        <v>102</v>
      </c>
      <c r="B93" s="93"/>
      <c r="D93" s="9"/>
      <c r="E93" s="9"/>
      <c r="G93" s="9"/>
    </row>
    <row r="94" spans="1:7" ht="13.5" thickBot="1" x14ac:dyDescent="0.25">
      <c r="A94" s="60" t="s">
        <v>61</v>
      </c>
      <c r="B94" s="61" t="s">
        <v>62</v>
      </c>
      <c r="C94" s="61" t="s">
        <v>37</v>
      </c>
      <c r="D94" s="62" t="s">
        <v>240</v>
      </c>
      <c r="E94" s="62" t="s">
        <v>63</v>
      </c>
      <c r="F94" s="63" t="s">
        <v>64</v>
      </c>
      <c r="G94" s="9"/>
    </row>
    <row r="95" spans="1:7" x14ac:dyDescent="0.2">
      <c r="A95" s="16" t="s">
        <v>90</v>
      </c>
      <c r="B95" s="17" t="s">
        <v>32</v>
      </c>
      <c r="C95" s="94">
        <v>1</v>
      </c>
      <c r="D95" s="92"/>
      <c r="E95" s="18"/>
      <c r="G95" s="9"/>
    </row>
    <row r="96" spans="1:7" x14ac:dyDescent="0.2">
      <c r="A96" s="16" t="s">
        <v>91</v>
      </c>
      <c r="B96" s="17" t="s">
        <v>92</v>
      </c>
      <c r="C96" s="91">
        <v>26</v>
      </c>
      <c r="D96" s="18"/>
      <c r="E96" s="18"/>
      <c r="G96" s="9"/>
    </row>
    <row r="97" spans="1:7" x14ac:dyDescent="0.2">
      <c r="A97" s="16" t="s">
        <v>71</v>
      </c>
      <c r="B97" s="17" t="s">
        <v>8</v>
      </c>
      <c r="C97" s="37">
        <f>$C$96*2*(C52+C64)</f>
        <v>208</v>
      </c>
      <c r="D97" s="15">
        <f>IFERROR((($C$96*2*$D$95)-(E47*0.06*C96/26))/($C$96*2),"-")</f>
        <v>-1.5354576923076924</v>
      </c>
      <c r="E97" s="18">
        <f>IFERROR(C97*D97,"-")</f>
        <v>-319.37520000000001</v>
      </c>
      <c r="G97" s="9"/>
    </row>
    <row r="98" spans="1:7" ht="13.5" thickBot="1" x14ac:dyDescent="0.25">
      <c r="A98" s="13" t="s">
        <v>41</v>
      </c>
      <c r="B98" s="14" t="s">
        <v>8</v>
      </c>
      <c r="C98" s="37">
        <f>$C$96*2*(C76+C90)</f>
        <v>104</v>
      </c>
      <c r="D98" s="15">
        <f>IFERROR((($C$96*2*$D$95)-(E69*0.06*C96/26))/($C$96*2),"-")</f>
        <v>-2.0307692307692307</v>
      </c>
      <c r="E98" s="15">
        <f>IFERROR(C98*D98,"-")</f>
        <v>-211.2</v>
      </c>
      <c r="G98" s="9"/>
    </row>
    <row r="99" spans="1:7" ht="13.5" thickBot="1" x14ac:dyDescent="0.25">
      <c r="F99" s="22">
        <f>SUM(E97:E98)</f>
        <v>-530.5752</v>
      </c>
      <c r="G99" s="9"/>
    </row>
    <row r="100" spans="1:7" ht="11.25" customHeight="1" x14ac:dyDescent="0.2">
      <c r="G100" s="9"/>
    </row>
    <row r="101" spans="1:7" ht="13.5" thickBot="1" x14ac:dyDescent="0.25">
      <c r="A101" s="9" t="s">
        <v>125</v>
      </c>
      <c r="F101" s="23"/>
      <c r="G101" s="9"/>
    </row>
    <row r="102" spans="1:7" ht="13.5" thickBot="1" x14ac:dyDescent="0.25">
      <c r="A102" s="60" t="s">
        <v>61</v>
      </c>
      <c r="B102" s="61" t="s">
        <v>62</v>
      </c>
      <c r="C102" s="61" t="s">
        <v>37</v>
      </c>
      <c r="D102" s="62" t="s">
        <v>240</v>
      </c>
      <c r="E102" s="62" t="s">
        <v>63</v>
      </c>
      <c r="F102" s="63" t="s">
        <v>64</v>
      </c>
      <c r="G102" s="9"/>
    </row>
    <row r="103" spans="1:7" x14ac:dyDescent="0.2">
      <c r="A103" s="16" t="str">
        <f>+A97</f>
        <v>Coletor</v>
      </c>
      <c r="B103" s="17" t="s">
        <v>9</v>
      </c>
      <c r="C103" s="102">
        <f>C96*(E31+E32)</f>
        <v>104</v>
      </c>
      <c r="D103" s="95">
        <f>17.41-(17.41*0.19)</f>
        <v>14.1021</v>
      </c>
      <c r="E103" s="50">
        <f>C103*D103</f>
        <v>1466.6184000000001</v>
      </c>
      <c r="F103" s="23"/>
      <c r="G103" s="9"/>
    </row>
    <row r="104" spans="1:7" ht="13.5" thickBot="1" x14ac:dyDescent="0.25">
      <c r="A104" s="16" t="str">
        <f>+A98</f>
        <v>Motorista</v>
      </c>
      <c r="B104" s="17" t="s">
        <v>9</v>
      </c>
      <c r="C104" s="102">
        <f>C96*(E33+E34)</f>
        <v>52</v>
      </c>
      <c r="D104" s="95">
        <v>0</v>
      </c>
      <c r="E104" s="50">
        <f>C104*D104</f>
        <v>0</v>
      </c>
      <c r="F104" s="23"/>
      <c r="G104" s="9"/>
    </row>
    <row r="105" spans="1:7" ht="13.5" thickBot="1" x14ac:dyDescent="0.25">
      <c r="F105" s="22">
        <f>SUM(E103:E104)</f>
        <v>1466.6184000000001</v>
      </c>
      <c r="G105" s="9"/>
    </row>
    <row r="106" spans="1:7" x14ac:dyDescent="0.2">
      <c r="G106" s="9"/>
    </row>
    <row r="107" spans="1:7" ht="13.5" thickBot="1" x14ac:dyDescent="0.25">
      <c r="A107" s="9" t="s">
        <v>126</v>
      </c>
      <c r="F107" s="23"/>
      <c r="G107" s="9"/>
    </row>
    <row r="108" spans="1:7" ht="13.5" thickBot="1" x14ac:dyDescent="0.25">
      <c r="A108" s="60" t="s">
        <v>61</v>
      </c>
      <c r="B108" s="61" t="s">
        <v>62</v>
      </c>
      <c r="C108" s="61" t="s">
        <v>37</v>
      </c>
      <c r="D108" s="62" t="s">
        <v>240</v>
      </c>
      <c r="E108" s="62" t="s">
        <v>63</v>
      </c>
      <c r="F108" s="63" t="s">
        <v>64</v>
      </c>
      <c r="G108" s="9"/>
    </row>
    <row r="109" spans="1:7" x14ac:dyDescent="0.2">
      <c r="A109" s="16" t="str">
        <f>+A103</f>
        <v>Coletor</v>
      </c>
      <c r="B109" s="17" t="s">
        <v>9</v>
      </c>
      <c r="C109" s="102">
        <f>E31+E32</f>
        <v>4</v>
      </c>
      <c r="D109" s="95"/>
      <c r="E109" s="50">
        <f>C109*D109</f>
        <v>0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9</v>
      </c>
      <c r="C110" s="102">
        <f>E33+E34</f>
        <v>2</v>
      </c>
      <c r="D110" s="95">
        <v>581</v>
      </c>
      <c r="E110" s="50">
        <f>C110*D110</f>
        <v>1162</v>
      </c>
      <c r="F110" s="23"/>
      <c r="G110" s="9"/>
    </row>
    <row r="111" spans="1:7" ht="17.25" thickBot="1" x14ac:dyDescent="0.25">
      <c r="A111" s="310" t="s">
        <v>304</v>
      </c>
      <c r="D111" s="124" t="s">
        <v>198</v>
      </c>
      <c r="E111" s="50">
        <f>$B$41</f>
        <v>1</v>
      </c>
      <c r="F111" s="22">
        <f>SUM(E109:E110)*E111</f>
        <v>1162</v>
      </c>
      <c r="G111" s="9"/>
    </row>
    <row r="112" spans="1:7" ht="13.5" thickBot="1" x14ac:dyDescent="0.25">
      <c r="G112" s="9"/>
    </row>
    <row r="113" spans="1:7" ht="13.5" thickBot="1" x14ac:dyDescent="0.25">
      <c r="A113" s="24" t="s">
        <v>93</v>
      </c>
      <c r="B113" s="25"/>
      <c r="C113" s="25"/>
      <c r="D113" s="26"/>
      <c r="E113" s="27"/>
      <c r="F113" s="22">
        <f>F111+F105+F99+F91+F77+F65+F53</f>
        <v>23628.495900117759</v>
      </c>
      <c r="G113" s="9"/>
    </row>
    <row r="115" spans="1:7" x14ac:dyDescent="0.2">
      <c r="A115" s="11" t="s">
        <v>42</v>
      </c>
      <c r="G115" s="9"/>
    </row>
    <row r="116" spans="1:7" ht="11.25" customHeight="1" x14ac:dyDescent="0.2">
      <c r="G116" s="9"/>
    </row>
    <row r="117" spans="1:7" ht="13.9" customHeight="1" x14ac:dyDescent="0.2">
      <c r="A117" s="9" t="s">
        <v>200</v>
      </c>
      <c r="G117" s="9"/>
    </row>
    <row r="118" spans="1:7" ht="11.25" customHeight="1" thickBot="1" x14ac:dyDescent="0.25">
      <c r="G118" s="9"/>
    </row>
    <row r="119" spans="1:7" ht="27.75" customHeight="1" thickBot="1" x14ac:dyDescent="0.25">
      <c r="A119" s="60" t="s">
        <v>61</v>
      </c>
      <c r="B119" s="61" t="s">
        <v>62</v>
      </c>
      <c r="C119" s="264" t="s">
        <v>258</v>
      </c>
      <c r="D119" s="62" t="s">
        <v>240</v>
      </c>
      <c r="E119" s="62" t="s">
        <v>63</v>
      </c>
      <c r="F119" s="63" t="s">
        <v>64</v>
      </c>
      <c r="G119" s="9"/>
    </row>
    <row r="120" spans="1:7" x14ac:dyDescent="0.2">
      <c r="A120" s="13" t="s">
        <v>65</v>
      </c>
      <c r="B120" s="14" t="s">
        <v>9</v>
      </c>
      <c r="C120" s="101">
        <v>6</v>
      </c>
      <c r="D120" s="87">
        <v>58</v>
      </c>
      <c r="E120" s="15">
        <f>IFERROR(D120/C120,0)</f>
        <v>9.6666666666666661</v>
      </c>
      <c r="G120" s="9"/>
    </row>
    <row r="121" spans="1:7" ht="13.15" customHeight="1" x14ac:dyDescent="0.2">
      <c r="A121" s="16" t="s">
        <v>28</v>
      </c>
      <c r="B121" s="17" t="s">
        <v>9</v>
      </c>
      <c r="C121" s="101">
        <v>3</v>
      </c>
      <c r="D121" s="87">
        <v>25</v>
      </c>
      <c r="E121" s="15">
        <f t="shared" ref="E121:E129" si="1">IFERROR(D121/C121,0)</f>
        <v>8.3333333333333339</v>
      </c>
      <c r="G121" s="9"/>
    </row>
    <row r="122" spans="1:7" x14ac:dyDescent="0.2">
      <c r="A122" s="16" t="s">
        <v>29</v>
      </c>
      <c r="B122" s="17" t="s">
        <v>9</v>
      </c>
      <c r="C122" s="101">
        <v>1.5</v>
      </c>
      <c r="D122" s="87">
        <v>15</v>
      </c>
      <c r="E122" s="15">
        <f t="shared" si="1"/>
        <v>10</v>
      </c>
      <c r="G122" s="9"/>
    </row>
    <row r="123" spans="1:7" ht="13.15" customHeight="1" x14ac:dyDescent="0.2">
      <c r="A123" s="16" t="s">
        <v>30</v>
      </c>
      <c r="B123" s="17" t="s">
        <v>9</v>
      </c>
      <c r="C123" s="101">
        <v>2</v>
      </c>
      <c r="D123" s="87">
        <v>8</v>
      </c>
      <c r="E123" s="15">
        <f t="shared" si="1"/>
        <v>4</v>
      </c>
      <c r="G123" s="9"/>
    </row>
    <row r="124" spans="1:7" ht="13.9" customHeight="1" x14ac:dyDescent="0.2">
      <c r="A124" s="16" t="s">
        <v>67</v>
      </c>
      <c r="B124" s="17" t="s">
        <v>45</v>
      </c>
      <c r="C124" s="101">
        <v>3</v>
      </c>
      <c r="D124" s="87">
        <v>50</v>
      </c>
      <c r="E124" s="15">
        <f t="shared" si="1"/>
        <v>16.666666666666668</v>
      </c>
      <c r="G124" s="9"/>
    </row>
    <row r="125" spans="1:7" ht="13.15" customHeight="1" x14ac:dyDescent="0.2">
      <c r="A125" s="16" t="s">
        <v>94</v>
      </c>
      <c r="B125" s="17" t="s">
        <v>45</v>
      </c>
      <c r="C125" s="101">
        <v>2</v>
      </c>
      <c r="D125" s="87">
        <v>5</v>
      </c>
      <c r="E125" s="15">
        <f t="shared" si="1"/>
        <v>2.5</v>
      </c>
    </row>
    <row r="126" spans="1:7" x14ac:dyDescent="0.2">
      <c r="A126" s="16" t="s">
        <v>66</v>
      </c>
      <c r="B126" s="17" t="s">
        <v>9</v>
      </c>
      <c r="C126" s="101">
        <v>2</v>
      </c>
      <c r="D126" s="87">
        <v>20</v>
      </c>
      <c r="E126" s="15">
        <f t="shared" si="1"/>
        <v>10</v>
      </c>
    </row>
    <row r="127" spans="1:7" s="1" customFormat="1" x14ac:dyDescent="0.2">
      <c r="A127" s="2" t="s">
        <v>10</v>
      </c>
      <c r="B127" s="3" t="s">
        <v>9</v>
      </c>
      <c r="C127" s="101">
        <v>2</v>
      </c>
      <c r="D127" s="87">
        <v>10</v>
      </c>
      <c r="E127" s="15">
        <f t="shared" si="1"/>
        <v>5</v>
      </c>
      <c r="F127" s="38"/>
      <c r="G127" s="38"/>
    </row>
    <row r="128" spans="1:7" x14ac:dyDescent="0.2">
      <c r="A128" s="16" t="s">
        <v>31</v>
      </c>
      <c r="B128" s="17" t="s">
        <v>45</v>
      </c>
      <c r="C128" s="101">
        <v>0.25</v>
      </c>
      <c r="D128" s="87">
        <v>5</v>
      </c>
      <c r="E128" s="15">
        <f t="shared" si="1"/>
        <v>20</v>
      </c>
    </row>
    <row r="129" spans="1:7" ht="13.15" customHeight="1" x14ac:dyDescent="0.2">
      <c r="A129" s="16" t="s">
        <v>60</v>
      </c>
      <c r="B129" s="17" t="s">
        <v>46</v>
      </c>
      <c r="C129" s="101">
        <v>1.5</v>
      </c>
      <c r="D129" s="87">
        <v>15</v>
      </c>
      <c r="E129" s="15">
        <f t="shared" si="1"/>
        <v>10</v>
      </c>
    </row>
    <row r="130" spans="1:7" x14ac:dyDescent="0.2">
      <c r="A130" s="16" t="s">
        <v>201</v>
      </c>
      <c r="B130" s="17" t="s">
        <v>127</v>
      </c>
      <c r="C130" s="122">
        <v>1</v>
      </c>
      <c r="D130" s="87">
        <v>145</v>
      </c>
      <c r="E130" s="18">
        <f t="shared" ref="E130:E131" si="2">C130*D130</f>
        <v>145</v>
      </c>
    </row>
    <row r="131" spans="1:7" ht="13.5" thickBot="1" x14ac:dyDescent="0.25">
      <c r="A131" s="16" t="s">
        <v>4</v>
      </c>
      <c r="B131" s="17" t="s">
        <v>5</v>
      </c>
      <c r="C131" s="69">
        <f>E31+E32</f>
        <v>4</v>
      </c>
      <c r="D131" s="18">
        <f>+SUM(E120:E130)</f>
        <v>241.16666666666669</v>
      </c>
      <c r="E131" s="18">
        <f t="shared" si="2"/>
        <v>964.66666666666674</v>
      </c>
    </row>
    <row r="132" spans="1:7" ht="13.5" thickBot="1" x14ac:dyDescent="0.25">
      <c r="D132" s="124" t="s">
        <v>198</v>
      </c>
      <c r="E132" s="50">
        <f>$B$41</f>
        <v>1</v>
      </c>
      <c r="F132" s="125">
        <f>E131*E132</f>
        <v>964.66666666666674</v>
      </c>
    </row>
    <row r="133" spans="1:7" ht="11.25" customHeight="1" x14ac:dyDescent="0.2"/>
    <row r="134" spans="1:7" ht="13.9" customHeight="1" x14ac:dyDescent="0.2">
      <c r="A134" s="9" t="s">
        <v>202</v>
      </c>
    </row>
    <row r="135" spans="1:7" ht="11.25" customHeight="1" thickBot="1" x14ac:dyDescent="0.25"/>
    <row r="136" spans="1:7" ht="24.75" thickBot="1" x14ac:dyDescent="0.25">
      <c r="A136" s="60" t="s">
        <v>61</v>
      </c>
      <c r="B136" s="61" t="s">
        <v>62</v>
      </c>
      <c r="C136" s="264" t="s">
        <v>258</v>
      </c>
      <c r="D136" s="62" t="s">
        <v>240</v>
      </c>
      <c r="E136" s="62" t="s">
        <v>63</v>
      </c>
      <c r="F136" s="63" t="s">
        <v>64</v>
      </c>
    </row>
    <row r="137" spans="1:7" x14ac:dyDescent="0.2">
      <c r="A137" s="13" t="s">
        <v>65</v>
      </c>
      <c r="B137" s="14" t="s">
        <v>9</v>
      </c>
      <c r="C137" s="101">
        <v>6</v>
      </c>
      <c r="D137" s="15">
        <f>+D120</f>
        <v>58</v>
      </c>
      <c r="E137" s="15">
        <f>IFERROR(D137/C137,0)</f>
        <v>9.6666666666666661</v>
      </c>
    </row>
    <row r="138" spans="1:7" x14ac:dyDescent="0.2">
      <c r="A138" s="16" t="s">
        <v>28</v>
      </c>
      <c r="B138" s="17" t="s">
        <v>9</v>
      </c>
      <c r="C138" s="101">
        <v>3</v>
      </c>
      <c r="D138" s="18">
        <f>+D121</f>
        <v>25</v>
      </c>
      <c r="E138" s="15">
        <f t="shared" ref="E138:E142" si="3">IFERROR(D138/C138,0)</f>
        <v>8.3333333333333339</v>
      </c>
    </row>
    <row r="139" spans="1:7" x14ac:dyDescent="0.2">
      <c r="A139" s="16" t="s">
        <v>29</v>
      </c>
      <c r="B139" s="17" t="s">
        <v>9</v>
      </c>
      <c r="C139" s="101">
        <v>2</v>
      </c>
      <c r="D139" s="18">
        <f>+D122</f>
        <v>15</v>
      </c>
      <c r="E139" s="15">
        <f t="shared" si="3"/>
        <v>7.5</v>
      </c>
    </row>
    <row r="140" spans="1:7" x14ac:dyDescent="0.2">
      <c r="A140" s="16" t="s">
        <v>67</v>
      </c>
      <c r="B140" s="17" t="s">
        <v>45</v>
      </c>
      <c r="C140" s="101">
        <v>6</v>
      </c>
      <c r="D140" s="18">
        <f>+D124</f>
        <v>50</v>
      </c>
      <c r="E140" s="15">
        <f t="shared" si="3"/>
        <v>8.3333333333333339</v>
      </c>
    </row>
    <row r="141" spans="1:7" x14ac:dyDescent="0.2">
      <c r="A141" s="16" t="s">
        <v>66</v>
      </c>
      <c r="B141" s="17" t="s">
        <v>9</v>
      </c>
      <c r="C141" s="101">
        <v>6</v>
      </c>
      <c r="D141" s="18">
        <f>+D126</f>
        <v>20</v>
      </c>
      <c r="E141" s="15">
        <f t="shared" si="3"/>
        <v>3.3333333333333335</v>
      </c>
      <c r="G141" s="9"/>
    </row>
    <row r="142" spans="1:7" x14ac:dyDescent="0.2">
      <c r="A142" s="16" t="s">
        <v>60</v>
      </c>
      <c r="B142" s="17" t="s">
        <v>46</v>
      </c>
      <c r="C142" s="101">
        <v>0.5</v>
      </c>
      <c r="D142" s="18">
        <f>+D129</f>
        <v>15</v>
      </c>
      <c r="E142" s="15">
        <f t="shared" si="3"/>
        <v>30</v>
      </c>
      <c r="G142" s="9"/>
    </row>
    <row r="143" spans="1:7" x14ac:dyDescent="0.2">
      <c r="A143" s="16" t="s">
        <v>201</v>
      </c>
      <c r="B143" s="17" t="s">
        <v>127</v>
      </c>
      <c r="C143" s="122">
        <v>1</v>
      </c>
      <c r="D143" s="87">
        <v>145</v>
      </c>
      <c r="E143" s="18">
        <f t="shared" ref="E143:E144" si="4">C143*D143</f>
        <v>145</v>
      </c>
      <c r="G143" s="9"/>
    </row>
    <row r="144" spans="1:7" ht="13.5" thickBot="1" x14ac:dyDescent="0.25">
      <c r="A144" s="16" t="s">
        <v>4</v>
      </c>
      <c r="B144" s="17" t="s">
        <v>5</v>
      </c>
      <c r="C144" s="69">
        <f>E33+E34</f>
        <v>2</v>
      </c>
      <c r="D144" s="18">
        <f>+SUM(E137:E143)</f>
        <v>212.16666666666669</v>
      </c>
      <c r="E144" s="18">
        <f t="shared" si="4"/>
        <v>424.33333333333337</v>
      </c>
      <c r="G144" s="9"/>
    </row>
    <row r="145" spans="1:10" ht="13.5" thickBot="1" x14ac:dyDescent="0.25">
      <c r="D145" s="124" t="s">
        <v>198</v>
      </c>
      <c r="E145" s="50">
        <f>$B$41</f>
        <v>1</v>
      </c>
      <c r="F145" s="125">
        <f>E144*E145</f>
        <v>424.33333333333337</v>
      </c>
      <c r="G145" s="9"/>
    </row>
    <row r="146" spans="1:10" ht="11.25" customHeight="1" thickBot="1" x14ac:dyDescent="0.25">
      <c r="G146" s="9"/>
    </row>
    <row r="147" spans="1:10" ht="13.5" thickBot="1" x14ac:dyDescent="0.25">
      <c r="A147" s="24" t="s">
        <v>203</v>
      </c>
      <c r="B147" s="28"/>
      <c r="C147" s="28"/>
      <c r="D147" s="29"/>
      <c r="E147" s="30"/>
      <c r="F147" s="21">
        <f>+F132+F145</f>
        <v>1389</v>
      </c>
      <c r="G147" s="9"/>
    </row>
    <row r="148" spans="1:10" ht="11.25" customHeight="1" x14ac:dyDescent="0.2">
      <c r="G148" s="9"/>
    </row>
    <row r="149" spans="1:10" x14ac:dyDescent="0.2">
      <c r="A149" s="11" t="s">
        <v>51</v>
      </c>
      <c r="G149" s="9"/>
    </row>
    <row r="150" spans="1:10" ht="11.25" customHeight="1" x14ac:dyDescent="0.2">
      <c r="B150" s="107"/>
      <c r="G150" s="9"/>
    </row>
    <row r="151" spans="1:10" x14ac:dyDescent="0.2">
      <c r="A151" s="7" t="s">
        <v>299</v>
      </c>
      <c r="G151" s="9"/>
    </row>
    <row r="152" spans="1:10" ht="11.25" customHeight="1" x14ac:dyDescent="0.2">
      <c r="G152" s="9"/>
    </row>
    <row r="153" spans="1:10" ht="13.5" thickBot="1" x14ac:dyDescent="0.25">
      <c r="A153" s="107" t="s">
        <v>43</v>
      </c>
      <c r="G153" s="9"/>
    </row>
    <row r="154" spans="1:10" ht="13.5" thickBot="1" x14ac:dyDescent="0.25">
      <c r="A154" s="60" t="s">
        <v>61</v>
      </c>
      <c r="B154" s="61" t="s">
        <v>62</v>
      </c>
      <c r="C154" s="61" t="s">
        <v>37</v>
      </c>
      <c r="D154" s="62" t="s">
        <v>240</v>
      </c>
      <c r="E154" s="62" t="s">
        <v>63</v>
      </c>
      <c r="F154" s="63" t="s">
        <v>64</v>
      </c>
      <c r="G154" s="9"/>
    </row>
    <row r="155" spans="1:10" x14ac:dyDescent="0.2">
      <c r="A155" s="13" t="s">
        <v>109</v>
      </c>
      <c r="B155" s="14" t="s">
        <v>9</v>
      </c>
      <c r="C155" s="270">
        <v>1</v>
      </c>
      <c r="D155" s="87">
        <v>283050</v>
      </c>
      <c r="E155" s="15">
        <f>C155*D155</f>
        <v>283050</v>
      </c>
      <c r="G155" s="9"/>
    </row>
    <row r="156" spans="1:10" x14ac:dyDescent="0.2">
      <c r="A156" s="16" t="s">
        <v>103</v>
      </c>
      <c r="B156" s="17" t="s">
        <v>104</v>
      </c>
      <c r="C156" s="86">
        <v>10</v>
      </c>
      <c r="D156" s="83"/>
      <c r="E156" s="18"/>
      <c r="G156" s="9"/>
    </row>
    <row r="157" spans="1:10" x14ac:dyDescent="0.2">
      <c r="A157" s="16" t="s">
        <v>215</v>
      </c>
      <c r="B157" s="17" t="s">
        <v>104</v>
      </c>
      <c r="C157" s="86">
        <v>5</v>
      </c>
      <c r="D157" s="18"/>
      <c r="E157" s="18"/>
      <c r="F157" s="20"/>
      <c r="I157" s="85"/>
      <c r="J157" s="85"/>
    </row>
    <row r="158" spans="1:10" x14ac:dyDescent="0.2">
      <c r="A158" s="16" t="s">
        <v>107</v>
      </c>
      <c r="B158" s="17" t="s">
        <v>1</v>
      </c>
      <c r="C158" s="141">
        <f>IFERROR(VLOOKUP(C156,'5. Depreciação'!A3:B17,2,FALSE),0)</f>
        <v>65.180000000000007</v>
      </c>
      <c r="D158" s="18">
        <f>E155</f>
        <v>283050</v>
      </c>
      <c r="E158" s="18">
        <f>C158*D158/100</f>
        <v>184491.99000000005</v>
      </c>
    </row>
    <row r="159" spans="1:10" ht="13.5" thickBot="1" x14ac:dyDescent="0.25">
      <c r="A159" s="273" t="s">
        <v>47</v>
      </c>
      <c r="B159" s="274" t="s">
        <v>7</v>
      </c>
      <c r="C159" s="274">
        <f>C156*12</f>
        <v>120</v>
      </c>
      <c r="D159" s="275">
        <f>IF(C157&lt;=C156,E158,0)</f>
        <v>184491.99000000005</v>
      </c>
      <c r="E159" s="275">
        <f>IFERROR(D159/C159,0)</f>
        <v>1537.4332500000005</v>
      </c>
    </row>
    <row r="160" spans="1:10" ht="13.5" thickTop="1" x14ac:dyDescent="0.2">
      <c r="A160" s="13" t="s">
        <v>108</v>
      </c>
      <c r="B160" s="14" t="s">
        <v>9</v>
      </c>
      <c r="C160" s="14">
        <f>C155</f>
        <v>1</v>
      </c>
      <c r="D160" s="87">
        <v>117663</v>
      </c>
      <c r="E160" s="15">
        <f>C160*D160</f>
        <v>117663</v>
      </c>
      <c r="G160" s="9"/>
    </row>
    <row r="161" spans="1:10" x14ac:dyDescent="0.2">
      <c r="A161" s="16" t="s">
        <v>105</v>
      </c>
      <c r="B161" s="17" t="s">
        <v>104</v>
      </c>
      <c r="C161" s="86">
        <v>5</v>
      </c>
      <c r="D161" s="306" t="s">
        <v>300</v>
      </c>
      <c r="E161" s="18"/>
    </row>
    <row r="162" spans="1:10" x14ac:dyDescent="0.2">
      <c r="A162" s="16" t="s">
        <v>216</v>
      </c>
      <c r="B162" s="17" t="s">
        <v>104</v>
      </c>
      <c r="C162" s="86">
        <v>0</v>
      </c>
      <c r="D162" s="18"/>
      <c r="E162" s="18"/>
      <c r="F162" s="20"/>
      <c r="I162" s="85"/>
      <c r="J162" s="85"/>
    </row>
    <row r="163" spans="1:10" x14ac:dyDescent="0.2">
      <c r="A163" s="16" t="s">
        <v>106</v>
      </c>
      <c r="B163" s="17" t="s">
        <v>1</v>
      </c>
      <c r="C163" s="142">
        <f>IFERROR(VLOOKUP(C161,'5. Depreciação'!A3:B17,2,FALSE),0)</f>
        <v>55.679999999999993</v>
      </c>
      <c r="D163" s="18">
        <f>E160</f>
        <v>117663</v>
      </c>
      <c r="E163" s="18">
        <f>C163*D163/100</f>
        <v>65514.758399999992</v>
      </c>
    </row>
    <row r="164" spans="1:10" x14ac:dyDescent="0.2">
      <c r="A164" s="103" t="s">
        <v>110</v>
      </c>
      <c r="B164" s="104" t="s">
        <v>7</v>
      </c>
      <c r="C164" s="104">
        <f>C161*12</f>
        <v>60</v>
      </c>
      <c r="D164" s="105">
        <f>IF(C162&lt;=C161,E163,0)</f>
        <v>65514.758399999992</v>
      </c>
      <c r="E164" s="105">
        <f>IFERROR(D164/C164,0)</f>
        <v>1091.9126399999998</v>
      </c>
    </row>
    <row r="165" spans="1:10" x14ac:dyDescent="0.2">
      <c r="A165" s="117" t="s">
        <v>261</v>
      </c>
      <c r="B165" s="118"/>
      <c r="C165" s="118"/>
      <c r="D165" s="119"/>
      <c r="E165" s="120">
        <f>E159+E164</f>
        <v>2629.3458900000005</v>
      </c>
    </row>
    <row r="166" spans="1:10" ht="13.5" thickBot="1" x14ac:dyDescent="0.25">
      <c r="A166" s="103" t="s">
        <v>262</v>
      </c>
      <c r="B166" s="104" t="s">
        <v>9</v>
      </c>
      <c r="C166" s="86">
        <v>1</v>
      </c>
      <c r="D166" s="105">
        <f>E165</f>
        <v>2629.3458900000005</v>
      </c>
      <c r="E166" s="120">
        <f>C166*D166</f>
        <v>2629.3458900000005</v>
      </c>
    </row>
    <row r="167" spans="1:10" ht="13.5" thickBot="1" x14ac:dyDescent="0.25">
      <c r="A167" s="269"/>
      <c r="B167" s="269"/>
      <c r="C167" s="269"/>
      <c r="D167" s="124" t="s">
        <v>198</v>
      </c>
      <c r="E167" s="50">
        <f>$B$41</f>
        <v>1</v>
      </c>
      <c r="F167" s="21">
        <f>E166*E167</f>
        <v>2629.3458900000005</v>
      </c>
    </row>
    <row r="168" spans="1:10" ht="11.25" customHeight="1" x14ac:dyDescent="0.2"/>
    <row r="169" spans="1:10" ht="13.5" thickBot="1" x14ac:dyDescent="0.25">
      <c r="A169" s="107" t="s">
        <v>115</v>
      </c>
    </row>
    <row r="170" spans="1:10" ht="13.5" thickBot="1" x14ac:dyDescent="0.25">
      <c r="A170" s="109" t="s">
        <v>61</v>
      </c>
      <c r="B170" s="110" t="s">
        <v>62</v>
      </c>
      <c r="C170" s="110" t="s">
        <v>37</v>
      </c>
      <c r="D170" s="62" t="s">
        <v>240</v>
      </c>
      <c r="E170" s="111" t="s">
        <v>63</v>
      </c>
      <c r="F170" s="63" t="s">
        <v>64</v>
      </c>
      <c r="I170" s="85"/>
      <c r="J170" s="85"/>
    </row>
    <row r="171" spans="1:10" x14ac:dyDescent="0.2">
      <c r="A171" s="16" t="s">
        <v>113</v>
      </c>
      <c r="B171" s="17" t="s">
        <v>9</v>
      </c>
      <c r="C171" s="270">
        <v>1</v>
      </c>
      <c r="D171" s="18">
        <f>D155</f>
        <v>283050</v>
      </c>
      <c r="E171" s="18">
        <f>C171*D171</f>
        <v>283050</v>
      </c>
      <c r="F171" s="20"/>
      <c r="I171" s="85"/>
      <c r="J171" s="85"/>
    </row>
    <row r="172" spans="1:10" x14ac:dyDescent="0.2">
      <c r="A172" s="16" t="s">
        <v>219</v>
      </c>
      <c r="B172" s="17" t="s">
        <v>1</v>
      </c>
      <c r="C172" s="86">
        <v>6.4</v>
      </c>
      <c r="D172" s="18"/>
      <c r="E172" s="18"/>
      <c r="F172" s="20"/>
      <c r="I172" s="85"/>
      <c r="J172" s="85"/>
    </row>
    <row r="173" spans="1:10" x14ac:dyDescent="0.2">
      <c r="A173" s="16" t="s">
        <v>217</v>
      </c>
      <c r="B173" s="17" t="s">
        <v>32</v>
      </c>
      <c r="C173" s="149">
        <f>IFERROR(IF(C157&lt;=C156,E155-(C158/(100*C156)*C157)*E155,E155-E158),0)</f>
        <v>190804.005</v>
      </c>
      <c r="D173" s="18"/>
      <c r="E173" s="18"/>
      <c r="F173" s="20"/>
      <c r="I173" s="85"/>
      <c r="J173" s="85"/>
    </row>
    <row r="174" spans="1:10" x14ac:dyDescent="0.2">
      <c r="A174" s="16" t="s">
        <v>118</v>
      </c>
      <c r="B174" s="17" t="s">
        <v>32</v>
      </c>
      <c r="C174" s="83">
        <f>IFERROR(IF(C157&gt;=C156,C173,((((C173)-(E155-E158))*(((C156-C157)+1)/(2*(C156-C157))))+(E155-E158))),0)</f>
        <v>153905.60699999999</v>
      </c>
      <c r="D174" s="18"/>
      <c r="E174" s="18"/>
      <c r="F174" s="20"/>
      <c r="I174" s="85"/>
      <c r="J174" s="85"/>
    </row>
    <row r="175" spans="1:10" ht="13.5" thickBot="1" x14ac:dyDescent="0.25">
      <c r="A175" s="273" t="s">
        <v>119</v>
      </c>
      <c r="B175" s="274" t="s">
        <v>32</v>
      </c>
      <c r="C175" s="274"/>
      <c r="D175" s="276">
        <f>C172*C174/12/100</f>
        <v>820.82990399999994</v>
      </c>
      <c r="E175" s="275">
        <f>D175</f>
        <v>820.82990399999994</v>
      </c>
      <c r="F175" s="20"/>
      <c r="I175" s="85"/>
      <c r="J175" s="85"/>
    </row>
    <row r="176" spans="1:10" ht="13.5" thickTop="1" x14ac:dyDescent="0.2">
      <c r="A176" s="13" t="s">
        <v>114</v>
      </c>
      <c r="B176" s="14" t="s">
        <v>9</v>
      </c>
      <c r="C176" s="14">
        <f>C160</f>
        <v>1</v>
      </c>
      <c r="D176" s="15">
        <f>D160</f>
        <v>117663</v>
      </c>
      <c r="E176" s="15">
        <f>C176*D176</f>
        <v>117663</v>
      </c>
      <c r="F176" s="20"/>
      <c r="I176" s="85"/>
      <c r="J176" s="85"/>
    </row>
    <row r="177" spans="1:10" x14ac:dyDescent="0.2">
      <c r="A177" s="16" t="s">
        <v>219</v>
      </c>
      <c r="B177" s="17" t="s">
        <v>1</v>
      </c>
      <c r="C177" s="271">
        <f>C172</f>
        <v>6.4</v>
      </c>
      <c r="D177" s="18"/>
      <c r="E177" s="18"/>
      <c r="F177" s="20"/>
      <c r="I177" s="85"/>
      <c r="J177" s="85"/>
    </row>
    <row r="178" spans="1:10" x14ac:dyDescent="0.2">
      <c r="A178" s="16" t="s">
        <v>218</v>
      </c>
      <c r="B178" s="17" t="s">
        <v>32</v>
      </c>
      <c r="C178" s="149">
        <f>IFERROR(IF(C162&lt;=C161,E160-(C163/(100*C161)*C162)*E160,E160-E163),0)</f>
        <v>117663</v>
      </c>
      <c r="D178" s="18"/>
      <c r="E178" s="18"/>
      <c r="F178" s="20"/>
      <c r="I178" s="85"/>
      <c r="J178" s="85"/>
    </row>
    <row r="179" spans="1:10" x14ac:dyDescent="0.2">
      <c r="A179" s="16" t="s">
        <v>120</v>
      </c>
      <c r="B179" s="17" t="s">
        <v>32</v>
      </c>
      <c r="C179" s="83">
        <f>IFERROR(IF(C162&gt;=C161,C178,((((C178)-(E160-E163))*(((C161-C162)+1)/(2*(C161-C162))))+(E160-E163))),0)</f>
        <v>91457.096640000003</v>
      </c>
      <c r="D179" s="18"/>
      <c r="E179" s="18"/>
      <c r="F179" s="20"/>
      <c r="I179" s="85"/>
      <c r="J179" s="85"/>
    </row>
    <row r="180" spans="1:10" x14ac:dyDescent="0.2">
      <c r="A180" s="103" t="s">
        <v>117</v>
      </c>
      <c r="B180" s="104" t="s">
        <v>32</v>
      </c>
      <c r="C180" s="104"/>
      <c r="D180" s="113">
        <f>C177*C179/12/100</f>
        <v>487.77118208000002</v>
      </c>
      <c r="E180" s="105">
        <f>D180</f>
        <v>487.77118208000002</v>
      </c>
      <c r="F180" s="20"/>
      <c r="I180" s="85"/>
      <c r="J180" s="85"/>
    </row>
    <row r="181" spans="1:10" x14ac:dyDescent="0.2">
      <c r="A181" s="117" t="s">
        <v>261</v>
      </c>
      <c r="B181" s="118"/>
      <c r="C181" s="118"/>
      <c r="D181" s="119"/>
      <c r="E181" s="120">
        <f>E175+E180</f>
        <v>1308.60108608</v>
      </c>
      <c r="F181" s="20"/>
      <c r="I181" s="85"/>
      <c r="J181" s="85"/>
    </row>
    <row r="182" spans="1:10" ht="13.5" thickBot="1" x14ac:dyDescent="0.25">
      <c r="A182" s="103" t="s">
        <v>262</v>
      </c>
      <c r="B182" s="104" t="s">
        <v>9</v>
      </c>
      <c r="C182" s="271">
        <f>C166</f>
        <v>1</v>
      </c>
      <c r="D182" s="105">
        <f>E181</f>
        <v>1308.60108608</v>
      </c>
      <c r="E182" s="120">
        <f>C182*D182</f>
        <v>1308.60108608</v>
      </c>
      <c r="F182" s="20"/>
      <c r="I182" s="85"/>
      <c r="J182" s="85"/>
    </row>
    <row r="183" spans="1:10" ht="13.5" thickBot="1" x14ac:dyDescent="0.25">
      <c r="C183" s="19"/>
      <c r="D183" s="124" t="s">
        <v>198</v>
      </c>
      <c r="E183" s="50">
        <f>$B$41</f>
        <v>1</v>
      </c>
      <c r="F183" s="21">
        <f>E182*E183</f>
        <v>1308.60108608</v>
      </c>
      <c r="I183" s="85"/>
      <c r="J183" s="85"/>
    </row>
    <row r="184" spans="1:10" ht="11.25" customHeight="1" x14ac:dyDescent="0.2">
      <c r="I184" s="85"/>
      <c r="J184" s="85"/>
    </row>
    <row r="185" spans="1:10" ht="13.5" thickBot="1" x14ac:dyDescent="0.25">
      <c r="A185" s="9" t="s">
        <v>48</v>
      </c>
      <c r="I185" s="85"/>
      <c r="J185" s="85"/>
    </row>
    <row r="186" spans="1:10" ht="13.5" thickBot="1" x14ac:dyDescent="0.25">
      <c r="A186" s="60" t="s">
        <v>61</v>
      </c>
      <c r="B186" s="61" t="s">
        <v>62</v>
      </c>
      <c r="C186" s="61" t="s">
        <v>37</v>
      </c>
      <c r="D186" s="62" t="s">
        <v>240</v>
      </c>
      <c r="E186" s="62" t="s">
        <v>63</v>
      </c>
      <c r="F186" s="63" t="s">
        <v>64</v>
      </c>
      <c r="I186" s="85"/>
      <c r="J186" s="85"/>
    </row>
    <row r="187" spans="1:10" x14ac:dyDescent="0.2">
      <c r="A187" s="13" t="s">
        <v>11</v>
      </c>
      <c r="B187" s="14" t="s">
        <v>9</v>
      </c>
      <c r="C187" s="15">
        <f>C166</f>
        <v>1</v>
      </c>
      <c r="D187" s="15">
        <f>0.01*($E$155)</f>
        <v>2830.5</v>
      </c>
      <c r="E187" s="15">
        <f>C187*D187</f>
        <v>2830.5</v>
      </c>
      <c r="I187" s="85"/>
      <c r="J187" s="85"/>
    </row>
    <row r="188" spans="1:10" x14ac:dyDescent="0.2">
      <c r="A188" s="16" t="s">
        <v>197</v>
      </c>
      <c r="B188" s="17" t="s">
        <v>9</v>
      </c>
      <c r="C188" s="15">
        <f>C166</f>
        <v>1</v>
      </c>
      <c r="D188" s="89">
        <v>300</v>
      </c>
      <c r="E188" s="18">
        <f>C188*D188</f>
        <v>300</v>
      </c>
      <c r="I188" s="85"/>
      <c r="J188" s="85"/>
    </row>
    <row r="189" spans="1:10" x14ac:dyDescent="0.2">
      <c r="A189" s="16" t="s">
        <v>12</v>
      </c>
      <c r="B189" s="17" t="s">
        <v>9</v>
      </c>
      <c r="C189" s="15">
        <f>C166</f>
        <v>1</v>
      </c>
      <c r="D189" s="89">
        <v>1450</v>
      </c>
      <c r="E189" s="18">
        <f>C189*D189</f>
        <v>1450</v>
      </c>
      <c r="F189" s="31"/>
      <c r="I189" s="85"/>
      <c r="J189" s="85"/>
    </row>
    <row r="190" spans="1:10" ht="13.5" thickBot="1" x14ac:dyDescent="0.25">
      <c r="A190" s="103" t="s">
        <v>13</v>
      </c>
      <c r="B190" s="104" t="s">
        <v>7</v>
      </c>
      <c r="C190" s="104">
        <v>12</v>
      </c>
      <c r="D190" s="105">
        <f>SUM(E187:E189)</f>
        <v>4580.5</v>
      </c>
      <c r="E190" s="105">
        <f>D190/C190</f>
        <v>381.70833333333331</v>
      </c>
      <c r="I190" s="85"/>
      <c r="J190" s="85"/>
    </row>
    <row r="191" spans="1:10" ht="13.5" thickBot="1" x14ac:dyDescent="0.25">
      <c r="D191" s="124" t="s">
        <v>198</v>
      </c>
      <c r="E191" s="50">
        <f>$B$41</f>
        <v>1</v>
      </c>
      <c r="F191" s="125">
        <f>E190*E191</f>
        <v>381.70833333333331</v>
      </c>
      <c r="I191" s="85"/>
      <c r="J191" s="85"/>
    </row>
    <row r="192" spans="1:10" ht="11.25" customHeight="1" x14ac:dyDescent="0.2">
      <c r="I192" s="85"/>
      <c r="J192" s="85"/>
    </row>
    <row r="193" spans="1:10" x14ac:dyDescent="0.2">
      <c r="A193" s="9" t="s">
        <v>49</v>
      </c>
      <c r="B193" s="32"/>
      <c r="I193" s="85"/>
      <c r="J193" s="85"/>
    </row>
    <row r="194" spans="1:10" x14ac:dyDescent="0.2">
      <c r="B194" s="32"/>
      <c r="I194" s="85"/>
      <c r="J194" s="85"/>
    </row>
    <row r="195" spans="1:10" x14ac:dyDescent="0.2">
      <c r="A195" s="103" t="s">
        <v>122</v>
      </c>
      <c r="B195" s="114">
        <v>5800</v>
      </c>
      <c r="I195" s="85"/>
      <c r="J195" s="85"/>
    </row>
    <row r="196" spans="1:10" ht="13.5" thickBot="1" x14ac:dyDescent="0.25">
      <c r="B196" s="32"/>
      <c r="I196" s="85"/>
      <c r="J196" s="85"/>
    </row>
    <row r="197" spans="1:10" ht="13.5" thickBot="1" x14ac:dyDescent="0.25">
      <c r="A197" s="60" t="s">
        <v>61</v>
      </c>
      <c r="B197" s="61" t="s">
        <v>62</v>
      </c>
      <c r="C197" s="61" t="s">
        <v>260</v>
      </c>
      <c r="D197" s="62" t="s">
        <v>240</v>
      </c>
      <c r="E197" s="62" t="s">
        <v>63</v>
      </c>
      <c r="F197" s="63" t="s">
        <v>64</v>
      </c>
      <c r="I197" s="85"/>
      <c r="J197" s="85"/>
    </row>
    <row r="198" spans="1:10" x14ac:dyDescent="0.2">
      <c r="A198" s="13" t="s">
        <v>14</v>
      </c>
      <c r="B198" s="14" t="s">
        <v>15</v>
      </c>
      <c r="C198" s="97">
        <v>2.5</v>
      </c>
      <c r="D198" s="98">
        <v>3.45</v>
      </c>
      <c r="E198" s="15"/>
      <c r="I198" s="85"/>
      <c r="J198" s="85"/>
    </row>
    <row r="199" spans="1:10" x14ac:dyDescent="0.2">
      <c r="A199" s="16" t="s">
        <v>16</v>
      </c>
      <c r="B199" s="17" t="s">
        <v>17</v>
      </c>
      <c r="C199" s="94">
        <f>B195</f>
        <v>5800</v>
      </c>
      <c r="D199" s="268">
        <f>IFERROR(+D198/C198,"-")</f>
        <v>1.3800000000000001</v>
      </c>
      <c r="E199" s="18">
        <f>IFERROR(C199*D199,"-")</f>
        <v>8004.0000000000009</v>
      </c>
      <c r="I199" s="85"/>
      <c r="J199" s="85"/>
    </row>
    <row r="200" spans="1:10" x14ac:dyDescent="0.2">
      <c r="A200" s="16" t="s">
        <v>241</v>
      </c>
      <c r="B200" s="17" t="s">
        <v>18</v>
      </c>
      <c r="C200" s="100">
        <v>5</v>
      </c>
      <c r="D200" s="89">
        <v>10.88</v>
      </c>
      <c r="E200" s="18"/>
      <c r="G200" s="112"/>
      <c r="H200" s="52"/>
      <c r="I200" s="85"/>
      <c r="J200" s="85"/>
    </row>
    <row r="201" spans="1:10" x14ac:dyDescent="0.2">
      <c r="A201" s="16" t="s">
        <v>19</v>
      </c>
      <c r="B201" s="17" t="s">
        <v>17</v>
      </c>
      <c r="C201" s="94">
        <f>C199</f>
        <v>5800</v>
      </c>
      <c r="D201" s="265">
        <f>+C200*D200/1000</f>
        <v>5.4400000000000004E-2</v>
      </c>
      <c r="E201" s="18">
        <f>C201*D201</f>
        <v>315.52000000000004</v>
      </c>
      <c r="G201" s="112"/>
      <c r="H201" s="52"/>
      <c r="I201" s="85"/>
      <c r="J201" s="85"/>
    </row>
    <row r="202" spans="1:10" x14ac:dyDescent="0.2">
      <c r="A202" s="16" t="s">
        <v>242</v>
      </c>
      <c r="B202" s="17" t="s">
        <v>18</v>
      </c>
      <c r="C202" s="100">
        <v>0.85</v>
      </c>
      <c r="D202" s="89">
        <v>12.78</v>
      </c>
      <c r="E202" s="18"/>
      <c r="G202" s="112"/>
      <c r="H202" s="52"/>
      <c r="I202" s="85"/>
      <c r="J202" s="85"/>
    </row>
    <row r="203" spans="1:10" x14ac:dyDescent="0.2">
      <c r="A203" s="16" t="s">
        <v>20</v>
      </c>
      <c r="B203" s="17" t="s">
        <v>17</v>
      </c>
      <c r="C203" s="94">
        <f>C199</f>
        <v>5800</v>
      </c>
      <c r="D203" s="265">
        <f>+C202*D202/1000</f>
        <v>1.0862999999999999E-2</v>
      </c>
      <c r="E203" s="18">
        <f>C203*D203</f>
        <v>63.005399999999995</v>
      </c>
      <c r="G203" s="112"/>
      <c r="H203" s="52"/>
      <c r="I203" s="85"/>
      <c r="J203" s="85"/>
    </row>
    <row r="204" spans="1:10" x14ac:dyDescent="0.2">
      <c r="A204" s="16" t="s">
        <v>243</v>
      </c>
      <c r="B204" s="17" t="s">
        <v>18</v>
      </c>
      <c r="C204" s="100">
        <v>5</v>
      </c>
      <c r="D204" s="89">
        <v>9.33</v>
      </c>
      <c r="E204" s="18"/>
      <c r="G204" s="112"/>
      <c r="H204" s="52"/>
      <c r="I204" s="85"/>
      <c r="J204" s="85"/>
    </row>
    <row r="205" spans="1:10" x14ac:dyDescent="0.2">
      <c r="A205" s="16" t="s">
        <v>21</v>
      </c>
      <c r="B205" s="17" t="s">
        <v>17</v>
      </c>
      <c r="C205" s="94">
        <f>C199</f>
        <v>5800</v>
      </c>
      <c r="D205" s="265">
        <f>+C204*D204/1000</f>
        <v>4.6649999999999997E-2</v>
      </c>
      <c r="E205" s="18">
        <f>C205*D205</f>
        <v>270.57</v>
      </c>
      <c r="G205" s="112"/>
      <c r="H205" s="52"/>
      <c r="I205" s="85"/>
      <c r="J205" s="85"/>
    </row>
    <row r="206" spans="1:10" x14ac:dyDescent="0.2">
      <c r="A206" s="16" t="s">
        <v>22</v>
      </c>
      <c r="B206" s="17" t="s">
        <v>23</v>
      </c>
      <c r="C206" s="100">
        <v>2</v>
      </c>
      <c r="D206" s="89">
        <v>18</v>
      </c>
      <c r="E206" s="18"/>
      <c r="G206" s="112"/>
      <c r="H206" s="52"/>
      <c r="I206" s="85"/>
      <c r="J206" s="85"/>
    </row>
    <row r="207" spans="1:10" x14ac:dyDescent="0.2">
      <c r="A207" s="16" t="s">
        <v>24</v>
      </c>
      <c r="B207" s="17" t="s">
        <v>17</v>
      </c>
      <c r="C207" s="94">
        <f>C199</f>
        <v>5800</v>
      </c>
      <c r="D207" s="265">
        <f>+C206*D206/1000</f>
        <v>3.5999999999999997E-2</v>
      </c>
      <c r="E207" s="18">
        <f>C207*D207</f>
        <v>208.79999999999998</v>
      </c>
      <c r="G207" s="112"/>
      <c r="H207" s="52"/>
      <c r="I207" s="85"/>
      <c r="J207" s="85"/>
    </row>
    <row r="208" spans="1:10" ht="13.5" thickBot="1" x14ac:dyDescent="0.25">
      <c r="A208" s="103" t="s">
        <v>259</v>
      </c>
      <c r="B208" s="104" t="s">
        <v>123</v>
      </c>
      <c r="C208" s="266"/>
      <c r="D208" s="267">
        <f>IFERROR(D199+D201+D203+D205+D207,0)</f>
        <v>1.5279130000000003</v>
      </c>
      <c r="E208" s="18"/>
      <c r="G208" s="112"/>
      <c r="H208" s="52"/>
      <c r="I208" s="85"/>
      <c r="J208" s="85"/>
    </row>
    <row r="209" spans="1:10" ht="13.5" thickBot="1" x14ac:dyDescent="0.25">
      <c r="F209" s="21">
        <f>SUM(E198:E207)</f>
        <v>8861.8953999999994</v>
      </c>
      <c r="I209" s="85"/>
      <c r="J209" s="85"/>
    </row>
    <row r="210" spans="1:10" ht="11.25" customHeight="1" x14ac:dyDescent="0.2">
      <c r="I210" s="85"/>
      <c r="J210" s="85"/>
    </row>
    <row r="211" spans="1:10" ht="13.5" thickBot="1" x14ac:dyDescent="0.25">
      <c r="A211" s="9" t="s">
        <v>50</v>
      </c>
      <c r="I211" s="85"/>
      <c r="J211" s="85"/>
    </row>
    <row r="212" spans="1:10" ht="13.5" thickBot="1" x14ac:dyDescent="0.25">
      <c r="A212" s="60" t="s">
        <v>61</v>
      </c>
      <c r="B212" s="61" t="s">
        <v>62</v>
      </c>
      <c r="C212" s="61" t="s">
        <v>37</v>
      </c>
      <c r="D212" s="62" t="s">
        <v>240</v>
      </c>
      <c r="E212" s="62" t="s">
        <v>63</v>
      </c>
      <c r="F212" s="63" t="s">
        <v>64</v>
      </c>
      <c r="I212" s="85"/>
      <c r="J212" s="85"/>
    </row>
    <row r="213" spans="1:10" ht="13.5" thickBot="1" x14ac:dyDescent="0.25">
      <c r="A213" s="13" t="s">
        <v>121</v>
      </c>
      <c r="B213" s="14" t="s">
        <v>123</v>
      </c>
      <c r="C213" s="94">
        <f>C199</f>
        <v>5800</v>
      </c>
      <c r="D213" s="87">
        <v>0.75</v>
      </c>
      <c r="E213" s="15">
        <f>C213*D213</f>
        <v>4350</v>
      </c>
      <c r="I213" s="85"/>
      <c r="J213" s="85"/>
    </row>
    <row r="214" spans="1:10" ht="13.5" thickBot="1" x14ac:dyDescent="0.25">
      <c r="F214" s="21">
        <f>E213</f>
        <v>4350</v>
      </c>
      <c r="I214" s="85"/>
      <c r="J214" s="85"/>
    </row>
    <row r="215" spans="1:10" ht="11.25" customHeight="1" x14ac:dyDescent="0.2">
      <c r="I215" s="85"/>
      <c r="J215" s="85"/>
    </row>
    <row r="216" spans="1:10" ht="13.5" thickBot="1" x14ac:dyDescent="0.25">
      <c r="A216" s="9" t="s">
        <v>59</v>
      </c>
      <c r="I216" s="85"/>
      <c r="J216" s="85"/>
    </row>
    <row r="217" spans="1:10" ht="13.5" thickBot="1" x14ac:dyDescent="0.25">
      <c r="A217" s="60" t="s">
        <v>61</v>
      </c>
      <c r="B217" s="61" t="s">
        <v>62</v>
      </c>
      <c r="C217" s="61" t="s">
        <v>37</v>
      </c>
      <c r="D217" s="62" t="s">
        <v>240</v>
      </c>
      <c r="E217" s="62" t="s">
        <v>63</v>
      </c>
      <c r="F217" s="63" t="s">
        <v>64</v>
      </c>
      <c r="I217" s="85"/>
      <c r="J217" s="85"/>
    </row>
    <row r="218" spans="1:10" x14ac:dyDescent="0.2">
      <c r="A218" s="300" t="s">
        <v>301</v>
      </c>
      <c r="B218" s="14" t="s">
        <v>9</v>
      </c>
      <c r="C218" s="96">
        <v>10</v>
      </c>
      <c r="D218" s="87">
        <v>1400</v>
      </c>
      <c r="E218" s="15">
        <f>C218*D218</f>
        <v>14000</v>
      </c>
      <c r="I218" s="85"/>
      <c r="J218" s="85"/>
    </row>
    <row r="219" spans="1:10" x14ac:dyDescent="0.2">
      <c r="A219" s="13" t="s">
        <v>124</v>
      </c>
      <c r="B219" s="14" t="s">
        <v>9</v>
      </c>
      <c r="C219" s="96">
        <v>0</v>
      </c>
      <c r="D219" s="106"/>
      <c r="E219" s="15"/>
      <c r="I219" s="85"/>
      <c r="J219" s="85"/>
    </row>
    <row r="220" spans="1:10" x14ac:dyDescent="0.2">
      <c r="A220" s="13" t="s">
        <v>68</v>
      </c>
      <c r="B220" s="14" t="s">
        <v>9</v>
      </c>
      <c r="C220" s="15">
        <f>C218*C219</f>
        <v>0</v>
      </c>
      <c r="D220" s="87"/>
      <c r="E220" s="15">
        <f>C220*D220</f>
        <v>0</v>
      </c>
      <c r="I220" s="85"/>
      <c r="J220" s="85"/>
    </row>
    <row r="221" spans="1:10" x14ac:dyDescent="0.2">
      <c r="A221" s="16" t="s">
        <v>95</v>
      </c>
      <c r="B221" s="17" t="s">
        <v>25</v>
      </c>
      <c r="C221" s="99">
        <v>60000</v>
      </c>
      <c r="D221" s="18">
        <f>E218+E220</f>
        <v>14000</v>
      </c>
      <c r="E221" s="18">
        <f>IFERROR(D221/C221,"-")</f>
        <v>0.23333333333333334</v>
      </c>
      <c r="I221" s="85"/>
      <c r="J221" s="85"/>
    </row>
    <row r="222" spans="1:10" ht="13.5" thickBot="1" x14ac:dyDescent="0.25">
      <c r="A222" s="16" t="s">
        <v>52</v>
      </c>
      <c r="B222" s="17" t="s">
        <v>17</v>
      </c>
      <c r="C222" s="94">
        <f>B195</f>
        <v>5800</v>
      </c>
      <c r="D222" s="18">
        <f>E221</f>
        <v>0.23333333333333334</v>
      </c>
      <c r="E222" s="18">
        <f>IFERROR(C222*D222,0)</f>
        <v>1353.3333333333333</v>
      </c>
      <c r="I222" s="85"/>
      <c r="J222" s="85"/>
    </row>
    <row r="223" spans="1:10" ht="13.5" thickBot="1" x14ac:dyDescent="0.25">
      <c r="F223" s="21">
        <f>E222</f>
        <v>1353.3333333333333</v>
      </c>
      <c r="I223" s="85"/>
      <c r="J223" s="85"/>
    </row>
    <row r="224" spans="1:10" ht="11.25" customHeight="1" x14ac:dyDescent="0.2">
      <c r="I224" s="85"/>
      <c r="J224" s="85"/>
    </row>
    <row r="225" spans="1:7" ht="11.25" customHeight="1" thickBot="1" x14ac:dyDescent="0.25">
      <c r="G225" s="9"/>
    </row>
    <row r="226" spans="1:7" ht="13.5" thickBot="1" x14ac:dyDescent="0.25">
      <c r="A226" s="24" t="s">
        <v>228</v>
      </c>
      <c r="B226" s="25"/>
      <c r="C226" s="25"/>
      <c r="D226" s="26"/>
      <c r="E226" s="27"/>
      <c r="F226" s="21">
        <f>+SUM(F155:F225)</f>
        <v>18884.884042746664</v>
      </c>
      <c r="G226" s="9"/>
    </row>
    <row r="227" spans="1:7" ht="11.25" customHeight="1" x14ac:dyDescent="0.2">
      <c r="G227" s="9"/>
    </row>
    <row r="228" spans="1:7" x14ac:dyDescent="0.2">
      <c r="A228" s="34" t="s">
        <v>72</v>
      </c>
      <c r="B228" s="34"/>
      <c r="C228" s="34"/>
      <c r="D228" s="35"/>
      <c r="E228" s="35"/>
      <c r="F228" s="33"/>
      <c r="G228" s="9"/>
    </row>
    <row r="229" spans="1:7" ht="11.25" customHeight="1" thickBot="1" x14ac:dyDescent="0.25">
      <c r="G229" s="9"/>
    </row>
    <row r="230" spans="1:7" ht="13.5" thickBot="1" x14ac:dyDescent="0.25">
      <c r="A230" s="60" t="s">
        <v>61</v>
      </c>
      <c r="B230" s="61" t="s">
        <v>62</v>
      </c>
      <c r="C230" s="61" t="s">
        <v>37</v>
      </c>
      <c r="D230" s="62" t="s">
        <v>240</v>
      </c>
      <c r="E230" s="62" t="s">
        <v>63</v>
      </c>
      <c r="F230" s="63" t="s">
        <v>64</v>
      </c>
      <c r="G230" s="9"/>
    </row>
    <row r="231" spans="1:7" x14ac:dyDescent="0.2">
      <c r="A231" s="16" t="s">
        <v>69</v>
      </c>
      <c r="B231" s="17" t="s">
        <v>9</v>
      </c>
      <c r="C231" s="101">
        <v>0.33333333333333331</v>
      </c>
      <c r="D231" s="87">
        <v>35</v>
      </c>
      <c r="E231" s="18">
        <f>C231*D231</f>
        <v>11.666666666666666</v>
      </c>
      <c r="F231" s="55"/>
      <c r="G231" s="9"/>
    </row>
    <row r="232" spans="1:7" x14ac:dyDescent="0.2">
      <c r="A232" s="16" t="s">
        <v>26</v>
      </c>
      <c r="B232" s="17" t="s">
        <v>9</v>
      </c>
      <c r="C232" s="101">
        <v>0.33333333333333331</v>
      </c>
      <c r="D232" s="87">
        <v>20</v>
      </c>
      <c r="E232" s="18">
        <f>C232*D232</f>
        <v>6.6666666666666661</v>
      </c>
      <c r="F232" s="55"/>
      <c r="G232" s="9"/>
    </row>
    <row r="233" spans="1:7" x14ac:dyDescent="0.2">
      <c r="A233" s="16" t="s">
        <v>27</v>
      </c>
      <c r="B233" s="17" t="s">
        <v>9</v>
      </c>
      <c r="C233" s="101">
        <v>0.33333333333333331</v>
      </c>
      <c r="D233" s="87">
        <v>15</v>
      </c>
      <c r="E233" s="18">
        <f>C233*D233</f>
        <v>5</v>
      </c>
      <c r="F233" s="55"/>
      <c r="G233" s="9"/>
    </row>
    <row r="234" spans="1:7" x14ac:dyDescent="0.2">
      <c r="A234" s="16" t="s">
        <v>54</v>
      </c>
      <c r="B234" s="17" t="s">
        <v>55</v>
      </c>
      <c r="C234" s="101">
        <v>0.16666666666666666</v>
      </c>
      <c r="D234" s="87">
        <v>30</v>
      </c>
      <c r="E234" s="18">
        <f>C234*D234</f>
        <v>5</v>
      </c>
      <c r="F234" s="55"/>
      <c r="G234" s="9"/>
    </row>
    <row r="235" spans="1:7" ht="13.5" thickBot="1" x14ac:dyDescent="0.25">
      <c r="A235" s="16" t="s">
        <v>57</v>
      </c>
      <c r="B235" s="17" t="s">
        <v>55</v>
      </c>
      <c r="C235" s="101">
        <v>0.16666666666666666</v>
      </c>
      <c r="D235" s="87">
        <v>30</v>
      </c>
      <c r="E235" s="18">
        <f>C235*D235</f>
        <v>5</v>
      </c>
      <c r="F235" s="55"/>
      <c r="G235" s="9"/>
    </row>
    <row r="236" spans="1:7" ht="13.5" thickBot="1" x14ac:dyDescent="0.25">
      <c r="A236" s="34"/>
      <c r="B236" s="34"/>
      <c r="C236" s="34"/>
      <c r="D236" s="34"/>
      <c r="E236" s="35"/>
      <c r="F236" s="21">
        <f>SUM(E231:E235)</f>
        <v>33.333333333333329</v>
      </c>
      <c r="G236" s="9"/>
    </row>
    <row r="237" spans="1:7" ht="11.25" customHeight="1" thickBot="1" x14ac:dyDescent="0.25">
      <c r="G237" s="9"/>
    </row>
    <row r="238" spans="1:7" ht="13.5" thickBot="1" x14ac:dyDescent="0.25">
      <c r="A238" s="24" t="s">
        <v>229</v>
      </c>
      <c r="B238" s="25"/>
      <c r="C238" s="25"/>
      <c r="D238" s="26"/>
      <c r="E238" s="27"/>
      <c r="F238" s="21">
        <f>+F236</f>
        <v>33.333333333333329</v>
      </c>
      <c r="G238" s="9"/>
    </row>
    <row r="239" spans="1:7" ht="11.25" customHeight="1" x14ac:dyDescent="0.2">
      <c r="G239" s="9"/>
    </row>
    <row r="240" spans="1:7" x14ac:dyDescent="0.2">
      <c r="A240" s="34" t="s">
        <v>73</v>
      </c>
      <c r="B240" s="34"/>
      <c r="C240" s="34"/>
      <c r="D240" s="35"/>
      <c r="E240" s="35"/>
      <c r="F240" s="33"/>
    </row>
    <row r="241" spans="1:7" ht="11.25" customHeight="1" thickBot="1" x14ac:dyDescent="0.25"/>
    <row r="242" spans="1:7" ht="13.5" thickBot="1" x14ac:dyDescent="0.25">
      <c r="A242" s="60" t="s">
        <v>61</v>
      </c>
      <c r="B242" s="61" t="s">
        <v>62</v>
      </c>
      <c r="C242" s="61" t="s">
        <v>37</v>
      </c>
      <c r="D242" s="62" t="s">
        <v>240</v>
      </c>
      <c r="E242" s="62" t="s">
        <v>63</v>
      </c>
      <c r="F242" s="63" t="s">
        <v>64</v>
      </c>
    </row>
    <row r="243" spans="1:7" x14ac:dyDescent="0.2">
      <c r="A243" s="16" t="s">
        <v>226</v>
      </c>
      <c r="B243" s="53" t="s">
        <v>55</v>
      </c>
      <c r="C243" s="69">
        <f>C155</f>
        <v>1</v>
      </c>
      <c r="D243" s="89">
        <v>70</v>
      </c>
      <c r="E243" s="18">
        <f>+D243*C243</f>
        <v>70</v>
      </c>
      <c r="F243" s="55"/>
    </row>
    <row r="244" spans="1:7" x14ac:dyDescent="0.2">
      <c r="A244" s="16" t="s">
        <v>58</v>
      </c>
      <c r="B244" s="53" t="s">
        <v>7</v>
      </c>
      <c r="C244" s="155">
        <v>60</v>
      </c>
      <c r="D244" s="80">
        <f>SUM(E243:E243)</f>
        <v>70</v>
      </c>
      <c r="E244" s="80">
        <f>+D244/C244</f>
        <v>1.1666666666666667</v>
      </c>
      <c r="F244" s="55"/>
    </row>
    <row r="245" spans="1:7" x14ac:dyDescent="0.2">
      <c r="A245" s="16" t="s">
        <v>227</v>
      </c>
      <c r="B245" s="17" t="s">
        <v>9</v>
      </c>
      <c r="C245" s="69">
        <f>+C243</f>
        <v>1</v>
      </c>
      <c r="D245" s="89">
        <v>80</v>
      </c>
      <c r="E245" s="18">
        <f>C245*D245</f>
        <v>80</v>
      </c>
      <c r="F245" s="55"/>
    </row>
    <row r="246" spans="1:7" ht="13.5" thickBot="1" x14ac:dyDescent="0.25">
      <c r="A246" s="16" t="s">
        <v>34</v>
      </c>
      <c r="B246" s="53" t="s">
        <v>7</v>
      </c>
      <c r="C246" s="155">
        <v>1</v>
      </c>
      <c r="D246" s="80">
        <f>+E245</f>
        <v>80</v>
      </c>
      <c r="E246" s="80">
        <f>+D246/C246</f>
        <v>80</v>
      </c>
      <c r="F246" s="55"/>
    </row>
    <row r="247" spans="1:7" ht="13.5" thickBot="1" x14ac:dyDescent="0.25">
      <c r="A247" s="81"/>
      <c r="B247" s="81"/>
      <c r="C247" s="81"/>
      <c r="D247" s="124" t="s">
        <v>198</v>
      </c>
      <c r="E247" s="50">
        <f>$B$41</f>
        <v>1</v>
      </c>
      <c r="F247" s="82">
        <f>(E244+E246)*E247</f>
        <v>81.166666666666671</v>
      </c>
    </row>
    <row r="248" spans="1:7" s="51" customFormat="1" ht="11.25" customHeight="1" thickBot="1" x14ac:dyDescent="0.25">
      <c r="A248" s="9"/>
      <c r="B248" s="9"/>
      <c r="C248" s="9"/>
      <c r="D248" s="10"/>
      <c r="E248" s="10"/>
      <c r="F248" s="10"/>
      <c r="G248" s="84"/>
    </row>
    <row r="249" spans="1:7" ht="13.5" thickBot="1" x14ac:dyDescent="0.25">
      <c r="A249" s="24" t="s">
        <v>225</v>
      </c>
      <c r="B249" s="25"/>
      <c r="C249" s="25"/>
      <c r="D249" s="26"/>
      <c r="E249" s="27"/>
      <c r="F249" s="21">
        <f>+F247</f>
        <v>81.166666666666671</v>
      </c>
    </row>
    <row r="250" spans="1:7" ht="11.25" customHeight="1" thickBot="1" x14ac:dyDescent="0.25"/>
    <row r="251" spans="1:7" ht="17.25" customHeight="1" thickBot="1" x14ac:dyDescent="0.25">
      <c r="A251" s="24" t="s">
        <v>230</v>
      </c>
      <c r="B251" s="28"/>
      <c r="C251" s="28"/>
      <c r="D251" s="29"/>
      <c r="E251" s="30"/>
      <c r="F251" s="22">
        <f>+F113+F147+F226+F238+F249</f>
        <v>44016.879942864427</v>
      </c>
    </row>
    <row r="252" spans="1:7" ht="11.25" customHeight="1" x14ac:dyDescent="0.2"/>
    <row r="253" spans="1:7" x14ac:dyDescent="0.2">
      <c r="A253" s="11" t="s">
        <v>88</v>
      </c>
    </row>
    <row r="254" spans="1:7" ht="11.25" customHeight="1" thickBot="1" x14ac:dyDescent="0.25"/>
    <row r="255" spans="1:7" ht="13.5" thickBot="1" x14ac:dyDescent="0.25">
      <c r="A255" s="60" t="s">
        <v>61</v>
      </c>
      <c r="B255" s="61" t="s">
        <v>62</v>
      </c>
      <c r="C255" s="61" t="s">
        <v>37</v>
      </c>
      <c r="D255" s="62" t="s">
        <v>240</v>
      </c>
      <c r="E255" s="62" t="s">
        <v>63</v>
      </c>
      <c r="F255" s="63" t="s">
        <v>64</v>
      </c>
    </row>
    <row r="256" spans="1:7" ht="13.5" thickBot="1" x14ac:dyDescent="0.25">
      <c r="A256" s="13" t="s">
        <v>33</v>
      </c>
      <c r="B256" s="14" t="s">
        <v>1</v>
      </c>
      <c r="C256" s="141">
        <f>'4.BDI'!C20*100</f>
        <v>26.650000000000002</v>
      </c>
      <c r="D256" s="15">
        <f>+F251</f>
        <v>44016.879942864427</v>
      </c>
      <c r="E256" s="15">
        <f>C256*D256/100</f>
        <v>11730.498504773372</v>
      </c>
    </row>
    <row r="257" spans="1:6" ht="13.5" thickBot="1" x14ac:dyDescent="0.25">
      <c r="F257" s="21">
        <f>+E256</f>
        <v>11730.498504773372</v>
      </c>
    </row>
    <row r="258" spans="1:6" ht="11.25" customHeight="1" thickBot="1" x14ac:dyDescent="0.25"/>
    <row r="259" spans="1:6" ht="13.5" thickBot="1" x14ac:dyDescent="0.25">
      <c r="A259" s="24" t="s">
        <v>245</v>
      </c>
      <c r="B259" s="28"/>
      <c r="C259" s="28"/>
      <c r="D259" s="29"/>
      <c r="E259" s="30"/>
      <c r="F259" s="22">
        <f>F257</f>
        <v>11730.498504773372</v>
      </c>
    </row>
    <row r="260" spans="1:6" x14ac:dyDescent="0.2">
      <c r="A260" s="34"/>
      <c r="B260" s="34"/>
      <c r="C260" s="34"/>
      <c r="D260" s="35"/>
      <c r="E260" s="35"/>
      <c r="F260" s="33"/>
    </row>
    <row r="261" spans="1:6" x14ac:dyDescent="0.2">
      <c r="A261" s="34"/>
      <c r="B261" s="34"/>
      <c r="C261" s="34"/>
      <c r="D261" s="35"/>
      <c r="E261" s="35"/>
      <c r="F261" s="33"/>
    </row>
    <row r="262" spans="1:6" ht="11.25" customHeight="1" thickBot="1" x14ac:dyDescent="0.25"/>
    <row r="263" spans="1:6" ht="24.75" customHeight="1" thickBot="1" x14ac:dyDescent="0.25">
      <c r="A263" s="24" t="s">
        <v>231</v>
      </c>
      <c r="B263" s="28"/>
      <c r="C263" s="28"/>
      <c r="D263" s="29"/>
      <c r="E263" s="30"/>
      <c r="F263" s="22">
        <f>F251+F259</f>
        <v>55747.378447637799</v>
      </c>
    </row>
    <row r="264" spans="1:6" ht="12.6" customHeight="1" x14ac:dyDescent="0.2">
      <c r="A264" s="56"/>
      <c r="B264" s="56"/>
      <c r="C264" s="56"/>
      <c r="D264" s="57"/>
      <c r="E264" s="57"/>
      <c r="F264" s="57"/>
    </row>
    <row r="265" spans="1:6" ht="12.6" customHeight="1" x14ac:dyDescent="0.2">
      <c r="A265" s="56" t="s">
        <v>305</v>
      </c>
      <c r="B265" s="56"/>
      <c r="C265" s="56"/>
      <c r="D265" s="57"/>
      <c r="E265" s="57"/>
      <c r="F265" s="57"/>
    </row>
    <row r="266" spans="1:6" ht="15.75" x14ac:dyDescent="0.2">
      <c r="A266" s="308" t="s">
        <v>306</v>
      </c>
      <c r="B266" s="56"/>
      <c r="C266" s="56"/>
      <c r="D266" s="57"/>
      <c r="E266" s="57"/>
      <c r="F266" s="57"/>
    </row>
    <row r="267" spans="1:6" ht="24.75" customHeight="1" x14ac:dyDescent="0.2">
      <c r="A267" s="327" t="s">
        <v>307</v>
      </c>
      <c r="B267" s="327"/>
      <c r="C267" s="327"/>
      <c r="D267" s="327"/>
      <c r="E267" s="327"/>
      <c r="F267" s="327"/>
    </row>
    <row r="268" spans="1:6" ht="54.75" customHeight="1" x14ac:dyDescent="0.2">
      <c r="A268" s="328" t="s">
        <v>309</v>
      </c>
      <c r="B268" s="328"/>
      <c r="C268" s="328"/>
      <c r="D268" s="328"/>
      <c r="E268" s="328"/>
      <c r="F268" s="328"/>
    </row>
    <row r="269" spans="1:6" ht="24" customHeight="1" x14ac:dyDescent="0.2">
      <c r="A269" s="329" t="s">
        <v>308</v>
      </c>
      <c r="B269" s="329"/>
      <c r="C269" s="329"/>
      <c r="D269" s="329"/>
      <c r="E269" s="329"/>
      <c r="F269" s="329"/>
    </row>
    <row r="270" spans="1:6" ht="29.25" customHeight="1" x14ac:dyDescent="0.2">
      <c r="A270" s="330" t="s">
        <v>310</v>
      </c>
      <c r="B270" s="330"/>
      <c r="C270" s="330"/>
      <c r="D270" s="330"/>
      <c r="E270" s="330"/>
      <c r="F270" s="330"/>
    </row>
    <row r="271" spans="1:6" ht="23.25" customHeight="1" x14ac:dyDescent="0.2">
      <c r="A271" s="331" t="s">
        <v>311</v>
      </c>
      <c r="B271" s="331"/>
      <c r="C271" s="331"/>
      <c r="D271" s="331"/>
      <c r="E271" s="331"/>
      <c r="F271" s="331"/>
    </row>
    <row r="272" spans="1:6" ht="45.75" customHeight="1" x14ac:dyDescent="0.2">
      <c r="A272" s="333" t="s">
        <v>312</v>
      </c>
      <c r="B272" s="333"/>
      <c r="C272" s="333"/>
      <c r="D272" s="333"/>
      <c r="E272" s="333"/>
      <c r="F272" s="333"/>
    </row>
    <row r="273" spans="1:6" ht="44.25" customHeight="1" x14ac:dyDescent="0.2">
      <c r="A273" s="329" t="s">
        <v>313</v>
      </c>
      <c r="B273" s="329"/>
      <c r="C273" s="329"/>
      <c r="D273" s="329"/>
      <c r="E273" s="329"/>
      <c r="F273" s="329"/>
    </row>
    <row r="274" spans="1:6" ht="29.25" customHeight="1" x14ac:dyDescent="0.2">
      <c r="A274" s="331" t="s">
        <v>314</v>
      </c>
      <c r="B274" s="331"/>
      <c r="C274" s="331"/>
      <c r="D274" s="331"/>
      <c r="E274" s="331"/>
      <c r="F274" s="331"/>
    </row>
    <row r="275" spans="1:6" ht="32.25" customHeight="1" x14ac:dyDescent="0.2">
      <c r="A275" s="330" t="s">
        <v>315</v>
      </c>
      <c r="B275" s="330"/>
      <c r="C275" s="330"/>
      <c r="D275" s="330"/>
      <c r="E275" s="330"/>
      <c r="F275" s="330"/>
    </row>
    <row r="276" spans="1:6" ht="42.75" customHeight="1" x14ac:dyDescent="0.2">
      <c r="A276" s="332" t="s">
        <v>316</v>
      </c>
      <c r="B276" s="332"/>
      <c r="C276" s="332"/>
      <c r="D276" s="332"/>
      <c r="E276" s="332"/>
      <c r="F276" s="332"/>
    </row>
    <row r="277" spans="1:6" ht="12.6" customHeight="1" x14ac:dyDescent="0.2">
      <c r="A277" s="309"/>
      <c r="B277" s="56"/>
      <c r="C277" s="56"/>
      <c r="D277" s="57"/>
      <c r="E277" s="57"/>
      <c r="F277" s="57"/>
    </row>
    <row r="278" spans="1:6" ht="12.6" customHeight="1" x14ac:dyDescent="0.2">
      <c r="B278" s="56"/>
      <c r="C278" s="56"/>
      <c r="D278" s="57"/>
      <c r="E278" s="57"/>
      <c r="F278" s="57"/>
    </row>
    <row r="279" spans="1:6" ht="12.6" customHeight="1" x14ac:dyDescent="0.2">
      <c r="A279" s="56"/>
      <c r="B279" s="56"/>
      <c r="C279" s="56"/>
      <c r="D279" s="57"/>
      <c r="E279" s="57"/>
      <c r="F279" s="57"/>
    </row>
    <row r="280" spans="1:6" ht="12.6" customHeight="1" x14ac:dyDescent="0.2">
      <c r="A280" s="56"/>
      <c r="B280" s="56"/>
      <c r="C280" s="56"/>
      <c r="D280" s="57"/>
      <c r="E280" s="57"/>
      <c r="F280" s="57"/>
    </row>
    <row r="281" spans="1:6" ht="12.6" customHeight="1" x14ac:dyDescent="0.2">
      <c r="A281" s="56"/>
      <c r="B281" s="56"/>
      <c r="C281" s="56"/>
      <c r="D281" s="57"/>
      <c r="E281" s="57"/>
      <c r="F281" s="57"/>
    </row>
    <row r="282" spans="1:6" ht="12.6" customHeight="1" x14ac:dyDescent="0.2">
      <c r="A282" s="56"/>
      <c r="B282" s="56"/>
      <c r="C282" s="56"/>
      <c r="D282" s="57"/>
      <c r="E282" s="57"/>
      <c r="F282" s="57"/>
    </row>
    <row r="283" spans="1:6" ht="12.6" customHeight="1" x14ac:dyDescent="0.2">
      <c r="A283" s="56"/>
      <c r="B283" s="56"/>
      <c r="C283" s="56"/>
      <c r="D283" s="57"/>
      <c r="E283" s="57"/>
      <c r="F283" s="57"/>
    </row>
    <row r="284" spans="1:6" ht="12.6" customHeight="1" x14ac:dyDescent="0.2">
      <c r="A284" s="56"/>
      <c r="B284" s="56"/>
      <c r="C284" s="56"/>
      <c r="D284" s="57"/>
      <c r="E284" s="57"/>
      <c r="F284" s="57"/>
    </row>
    <row r="285" spans="1:6" ht="12.6" customHeight="1" x14ac:dyDescent="0.2">
      <c r="A285" s="56"/>
      <c r="B285" s="56"/>
      <c r="C285" s="56"/>
      <c r="D285" s="57"/>
      <c r="E285" s="57"/>
      <c r="F285" s="57"/>
    </row>
    <row r="286" spans="1:6" ht="12.6" customHeight="1" x14ac:dyDescent="0.2">
      <c r="A286" s="56"/>
      <c r="B286" s="56"/>
      <c r="C286" s="56"/>
      <c r="D286" s="57"/>
      <c r="E286" s="57"/>
      <c r="F286" s="57"/>
    </row>
    <row r="287" spans="1:6" ht="12.6" customHeight="1" x14ac:dyDescent="0.2">
      <c r="A287" s="56"/>
      <c r="B287" s="56"/>
      <c r="C287" s="56"/>
      <c r="D287" s="57"/>
      <c r="E287" s="57"/>
      <c r="F287" s="57"/>
    </row>
    <row r="288" spans="1:6" ht="12.6" customHeight="1" x14ac:dyDescent="0.2">
      <c r="A288" s="56"/>
      <c r="B288" s="56"/>
      <c r="C288" s="56"/>
      <c r="D288" s="57"/>
      <c r="E288" s="57"/>
      <c r="F288" s="57"/>
    </row>
    <row r="289" spans="1:7" ht="12.6" customHeight="1" x14ac:dyDescent="0.2">
      <c r="A289" s="56"/>
      <c r="B289" s="56"/>
      <c r="C289" s="56"/>
      <c r="D289" s="57"/>
      <c r="E289" s="57"/>
      <c r="F289" s="57"/>
    </row>
    <row r="290" spans="1:7" ht="12.6" customHeight="1" x14ac:dyDescent="0.2">
      <c r="A290" s="56"/>
      <c r="B290" s="56"/>
      <c r="C290" s="56"/>
      <c r="D290" s="57"/>
      <c r="E290" s="57"/>
      <c r="F290" s="57"/>
    </row>
    <row r="291" spans="1:7" ht="12.6" customHeight="1" x14ac:dyDescent="0.2">
      <c r="A291" s="56"/>
      <c r="B291" s="56"/>
      <c r="C291" s="56"/>
      <c r="D291" s="57"/>
      <c r="E291" s="57"/>
      <c r="F291" s="57"/>
    </row>
    <row r="292" spans="1:7" ht="12.6" customHeight="1" x14ac:dyDescent="0.2">
      <c r="A292" s="56"/>
      <c r="B292" s="56"/>
      <c r="C292" s="56"/>
      <c r="D292" s="57"/>
      <c r="E292" s="57"/>
      <c r="F292" s="57"/>
    </row>
    <row r="293" spans="1:7" ht="12.6" customHeight="1" x14ac:dyDescent="0.2">
      <c r="A293" s="56"/>
      <c r="B293" s="56"/>
      <c r="C293" s="56"/>
      <c r="D293" s="57"/>
      <c r="E293" s="57"/>
      <c r="F293" s="57"/>
    </row>
    <row r="294" spans="1:7" ht="12.6" customHeight="1" x14ac:dyDescent="0.2">
      <c r="A294" s="56"/>
      <c r="B294" s="56"/>
      <c r="C294" s="56"/>
      <c r="D294" s="57"/>
      <c r="E294" s="57"/>
      <c r="F294" s="57"/>
    </row>
    <row r="295" spans="1:7" s="4" customFormat="1" ht="9.75" customHeight="1" x14ac:dyDescent="0.2">
      <c r="A295" s="39"/>
      <c r="B295" s="10"/>
      <c r="C295" s="10"/>
      <c r="D295" s="10"/>
      <c r="E295" s="10"/>
      <c r="F295" s="10"/>
      <c r="G295" s="6"/>
    </row>
    <row r="325" spans="4:7" ht="9" customHeight="1" x14ac:dyDescent="0.2">
      <c r="D325" s="9"/>
      <c r="E325" s="9"/>
      <c r="F325" s="9"/>
      <c r="G325" s="9"/>
    </row>
  </sheetData>
  <mergeCells count="17">
    <mergeCell ref="A276:F276"/>
    <mergeCell ref="A272:F272"/>
    <mergeCell ref="A273:F273"/>
    <mergeCell ref="A274:F274"/>
    <mergeCell ref="A275:F275"/>
    <mergeCell ref="A267:F267"/>
    <mergeCell ref="A268:F268"/>
    <mergeCell ref="A269:F269"/>
    <mergeCell ref="A270:F270"/>
    <mergeCell ref="A271:F271"/>
    <mergeCell ref="A37:D37"/>
    <mergeCell ref="A14:C14"/>
    <mergeCell ref="A1:F1"/>
    <mergeCell ref="A2:F2"/>
    <mergeCell ref="A30:D30"/>
    <mergeCell ref="A4:F4"/>
    <mergeCell ref="A29:E29"/>
  </mergeCells>
  <phoneticPr fontId="9" type="noConversion"/>
  <hyperlinks>
    <hyperlink ref="A169" location="AbaRemun" display="3.1.2. Remuneração do Capital"/>
    <hyperlink ref="A153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18" orientation="portrait" r:id="rId1"/>
  <headerFooter alignWithMargins="0">
    <oddFooter>&amp;R&amp;P de &amp;N</oddFooter>
  </headerFooter>
  <rowBreaks count="4" manualBreakCount="4">
    <brk id="42" max="5" man="1"/>
    <brk id="92" max="5" man="1"/>
    <brk id="148" max="5" man="1"/>
    <brk id="21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206</v>
      </c>
    </row>
    <row r="2" spans="1:12" x14ac:dyDescent="0.2">
      <c r="A2" s="140" t="s">
        <v>252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297" t="s">
        <v>294</v>
      </c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297" t="s">
        <v>291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4" t="s">
        <v>234</v>
      </c>
      <c r="B7" s="335"/>
      <c r="C7" s="336"/>
      <c r="D7" s="150"/>
      <c r="E7" s="150"/>
      <c r="F7" s="150"/>
    </row>
    <row r="8" spans="1:12" ht="14.25" x14ac:dyDescent="0.2">
      <c r="A8" s="169" t="s">
        <v>144</v>
      </c>
      <c r="B8" s="170" t="s">
        <v>145</v>
      </c>
      <c r="C8" s="171" t="s">
        <v>146</v>
      </c>
      <c r="D8" s="172"/>
    </row>
    <row r="9" spans="1:12" ht="14.25" x14ac:dyDescent="0.2">
      <c r="A9" s="169" t="s">
        <v>147</v>
      </c>
      <c r="B9" s="170" t="s">
        <v>38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148</v>
      </c>
      <c r="B10" s="170" t="s">
        <v>149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150</v>
      </c>
      <c r="B11" s="170" t="s">
        <v>151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152</v>
      </c>
      <c r="B12" s="170" t="s">
        <v>153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154</v>
      </c>
      <c r="B13" s="170" t="s">
        <v>155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156</v>
      </c>
      <c r="B14" s="170" t="s">
        <v>157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158</v>
      </c>
      <c r="B15" s="170" t="s">
        <v>159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160</v>
      </c>
      <c r="B16" s="170" t="s">
        <v>39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161</v>
      </c>
      <c r="B17" s="175" t="s">
        <v>162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163</v>
      </c>
      <c r="B19" s="180" t="s">
        <v>164</v>
      </c>
      <c r="C19" s="173">
        <f>ROUND(IF('3.CAGED'!C32&gt;24,(1-12/'3.CAGED'!C32)*0.1111,0.1111-C28),4)</f>
        <v>5.67E-2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165</v>
      </c>
      <c r="B20" s="180" t="s">
        <v>166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223</v>
      </c>
      <c r="B21" s="180" t="s">
        <v>168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167</v>
      </c>
      <c r="B22" s="180" t="s">
        <v>170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169</v>
      </c>
      <c r="B23" s="180" t="s">
        <v>172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171</v>
      </c>
      <c r="B24" s="180" t="s">
        <v>173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174</v>
      </c>
      <c r="B25" s="175" t="s">
        <v>175</v>
      </c>
      <c r="C25" s="176">
        <f>SUM(C19:C24)</f>
        <v>0.16850000000000001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176</v>
      </c>
      <c r="B27" s="170" t="s">
        <v>177</v>
      </c>
      <c r="C27" s="173">
        <f>ROUND(('3.CAGED'!C37) *'3.CAGED'!C30/'3.CAGED'!C33,4)</f>
        <v>4.0800000000000003E-2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222</v>
      </c>
      <c r="B28" s="170" t="s">
        <v>179</v>
      </c>
      <c r="C28" s="173">
        <f>ROUND(IF('3.CAGED'!C32&gt;12,12/'3.CAGED'!C32*0.1111,0.1111),4)</f>
        <v>5.4399999999999997E-2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178</v>
      </c>
      <c r="B29" s="170" t="s">
        <v>181</v>
      </c>
      <c r="C29" s="173">
        <f>C27*C28</f>
        <v>2.21952E-3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180</v>
      </c>
      <c r="B30" s="170" t="s">
        <v>183</v>
      </c>
      <c r="C30" s="173">
        <f>ROUND(('3.CAGED'!C33+'3.CAGED'!C34+'3.CAGED'!C36)/'3.CAGED'!C31*'3.CAGED'!C38*'3.CAGED'!C39*'3.CAGED'!C30/'3.CAGED'!C33,4)</f>
        <v>3.7100000000000001E-2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182</v>
      </c>
      <c r="B31" s="170" t="s">
        <v>184</v>
      </c>
      <c r="C31" s="173">
        <f>ROUND(('3.CAGED'!C35/'3.CAGED'!C33)*'3.CAGED'!C30/12,4)</f>
        <v>2.8E-3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185</v>
      </c>
      <c r="B32" s="175" t="s">
        <v>186</v>
      </c>
      <c r="C32" s="176">
        <f>SUM(C27:C31)</f>
        <v>0.13731952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187</v>
      </c>
      <c r="B34" s="170" t="s">
        <v>188</v>
      </c>
      <c r="C34" s="173">
        <f>ROUND(C17*C25,4)</f>
        <v>6.2E-2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189</v>
      </c>
      <c r="B35" s="185" t="s">
        <v>290</v>
      </c>
      <c r="C35" s="173">
        <f>ROUND((C27*C16),4)</f>
        <v>3.3E-3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190</v>
      </c>
      <c r="B36" s="175" t="s">
        <v>191</v>
      </c>
      <c r="C36" s="176">
        <f>SUM(C34:C35)</f>
        <v>6.5299999999999997E-2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192</v>
      </c>
      <c r="C37" s="189">
        <f>C36+C32+C25+C17</f>
        <v>0.73911952000000003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zoomScaleNormal="100" workbookViewId="0">
      <selection activeCell="C27" sqref="C27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246</v>
      </c>
    </row>
    <row r="3" spans="1:3" x14ac:dyDescent="0.2">
      <c r="A3" s="1" t="s">
        <v>213</v>
      </c>
    </row>
    <row r="4" spans="1:3" x14ac:dyDescent="0.2">
      <c r="A4" s="272" t="s">
        <v>209</v>
      </c>
    </row>
    <row r="5" spans="1:3" ht="25.5" customHeight="1" x14ac:dyDescent="0.2">
      <c r="A5" s="340" t="s">
        <v>257</v>
      </c>
      <c r="B5" s="339"/>
      <c r="C5" s="339"/>
    </row>
    <row r="6" spans="1:3" x14ac:dyDescent="0.2">
      <c r="A6" s="1" t="s">
        <v>210</v>
      </c>
    </row>
    <row r="7" spans="1:3" ht="26.25" customHeight="1" x14ac:dyDescent="0.2">
      <c r="A7" s="339" t="s">
        <v>211</v>
      </c>
      <c r="B7" s="339"/>
      <c r="C7" s="339"/>
    </row>
    <row r="8" spans="1:3" x14ac:dyDescent="0.2">
      <c r="A8" s="1" t="s">
        <v>212</v>
      </c>
    </row>
    <row r="9" spans="1:3" x14ac:dyDescent="0.2">
      <c r="A9" s="299" t="s">
        <v>247</v>
      </c>
    </row>
    <row r="10" spans="1:3" ht="13.5" thickBot="1" x14ac:dyDescent="0.25"/>
    <row r="11" spans="1:3" ht="18" x14ac:dyDescent="0.25">
      <c r="B11" s="337" t="s">
        <v>232</v>
      </c>
      <c r="C11" s="338"/>
    </row>
    <row r="12" spans="1:3" ht="15" x14ac:dyDescent="0.25">
      <c r="A12" s="158"/>
      <c r="B12" s="157" t="s">
        <v>208</v>
      </c>
      <c r="C12" s="203"/>
    </row>
    <row r="13" spans="1:3" ht="15" x14ac:dyDescent="0.25">
      <c r="A13" s="158"/>
      <c r="B13" s="159" t="s">
        <v>128</v>
      </c>
      <c r="C13" s="160">
        <v>2393</v>
      </c>
    </row>
    <row r="14" spans="1:3" ht="15" x14ac:dyDescent="0.25">
      <c r="A14" s="158"/>
      <c r="B14" s="161" t="s">
        <v>129</v>
      </c>
      <c r="C14" s="160">
        <v>3476</v>
      </c>
    </row>
    <row r="15" spans="1:3" ht="14.25" x14ac:dyDescent="0.2">
      <c r="A15" s="158"/>
      <c r="B15" s="204" t="s">
        <v>130</v>
      </c>
      <c r="C15" s="205">
        <v>88</v>
      </c>
    </row>
    <row r="16" spans="1:3" ht="14.25" x14ac:dyDescent="0.2">
      <c r="A16" s="158"/>
      <c r="B16" s="204" t="s">
        <v>131</v>
      </c>
      <c r="C16" s="205">
        <v>2448</v>
      </c>
    </row>
    <row r="17" spans="1:5" ht="14.25" x14ac:dyDescent="0.2">
      <c r="A17" s="158"/>
      <c r="B17" s="204" t="s">
        <v>132</v>
      </c>
      <c r="C17" s="205">
        <v>354</v>
      </c>
    </row>
    <row r="18" spans="1:5" ht="14.25" x14ac:dyDescent="0.2">
      <c r="A18" s="158"/>
      <c r="B18" s="204" t="s">
        <v>133</v>
      </c>
      <c r="C18" s="205">
        <v>24</v>
      </c>
    </row>
    <row r="19" spans="1:5" ht="14.25" x14ac:dyDescent="0.2">
      <c r="A19" s="158"/>
      <c r="B19" s="204" t="s">
        <v>134</v>
      </c>
      <c r="C19" s="205">
        <v>532</v>
      </c>
    </row>
    <row r="20" spans="1:5" ht="14.25" x14ac:dyDescent="0.2">
      <c r="A20" s="158"/>
      <c r="B20" s="204" t="s">
        <v>135</v>
      </c>
      <c r="C20" s="205">
        <v>1</v>
      </c>
    </row>
    <row r="21" spans="1:5" ht="14.25" x14ac:dyDescent="0.2">
      <c r="A21" s="158"/>
      <c r="B21" s="204" t="s">
        <v>136</v>
      </c>
      <c r="C21" s="205">
        <v>29</v>
      </c>
    </row>
    <row r="22" spans="1:5" ht="14.25" x14ac:dyDescent="0.2">
      <c r="A22" s="158"/>
      <c r="B22" s="206" t="s">
        <v>137</v>
      </c>
      <c r="C22" s="207">
        <v>0</v>
      </c>
    </row>
    <row r="23" spans="1:5" ht="14.25" x14ac:dyDescent="0.2">
      <c r="A23" s="158"/>
      <c r="B23" s="305" t="s">
        <v>297</v>
      </c>
      <c r="C23" s="207">
        <v>0</v>
      </c>
    </row>
    <row r="24" spans="1:5" ht="15" x14ac:dyDescent="0.25">
      <c r="A24" s="158" t="s">
        <v>138</v>
      </c>
      <c r="B24" s="157" t="s">
        <v>139</v>
      </c>
      <c r="C24" s="203"/>
    </row>
    <row r="25" spans="1:5" ht="14.25" x14ac:dyDescent="0.2">
      <c r="A25" s="158"/>
      <c r="B25" s="208" t="s">
        <v>302</v>
      </c>
      <c r="C25" s="209">
        <v>6537</v>
      </c>
    </row>
    <row r="26" spans="1:5" ht="14.25" x14ac:dyDescent="0.2">
      <c r="A26" s="158"/>
      <c r="B26" s="204" t="s">
        <v>303</v>
      </c>
      <c r="C26" s="205">
        <v>5454</v>
      </c>
    </row>
    <row r="27" spans="1:5" ht="14.25" x14ac:dyDescent="0.2">
      <c r="B27" s="204" t="s">
        <v>298</v>
      </c>
      <c r="C27" s="298">
        <f>C13-C14</f>
        <v>-1083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141</v>
      </c>
      <c r="C29" s="212">
        <f>MEDIAN(C25,C26)</f>
        <v>5995.5</v>
      </c>
    </row>
    <row r="30" spans="1:5" ht="15" x14ac:dyDescent="0.25">
      <c r="B30" s="161" t="s">
        <v>295</v>
      </c>
      <c r="C30" s="303">
        <f>C16/C29</f>
        <v>0.40830622967225422</v>
      </c>
    </row>
    <row r="31" spans="1:5" ht="15" x14ac:dyDescent="0.25">
      <c r="B31" s="161" t="s">
        <v>296</v>
      </c>
      <c r="C31" s="303">
        <f>MEDIAN(C13,C14)/C29</f>
        <v>0.48945042114919524</v>
      </c>
      <c r="E31" s="272"/>
    </row>
    <row r="32" spans="1:5" s="108" customFormat="1" ht="15" x14ac:dyDescent="0.25">
      <c r="B32" s="161" t="s">
        <v>253</v>
      </c>
      <c r="C32" s="301">
        <f>12/C31</f>
        <v>24.517294257965581</v>
      </c>
    </row>
    <row r="33" spans="2:3" ht="15" x14ac:dyDescent="0.25">
      <c r="B33" s="161" t="s">
        <v>140</v>
      </c>
      <c r="C33" s="163">
        <v>360</v>
      </c>
    </row>
    <row r="34" spans="2:3" ht="15" x14ac:dyDescent="0.25">
      <c r="B34" s="161" t="s">
        <v>248</v>
      </c>
      <c r="C34" s="163">
        <v>10</v>
      </c>
    </row>
    <row r="35" spans="2:3" ht="15" x14ac:dyDescent="0.25">
      <c r="B35" s="159" t="s">
        <v>249</v>
      </c>
      <c r="C35" s="162">
        <v>30</v>
      </c>
    </row>
    <row r="36" spans="2:3" ht="15" x14ac:dyDescent="0.25">
      <c r="B36" s="159" t="s">
        <v>250</v>
      </c>
      <c r="C36" s="162">
        <v>30</v>
      </c>
    </row>
    <row r="37" spans="2:3" s="108" customFormat="1" ht="15" x14ac:dyDescent="0.25">
      <c r="B37" s="159" t="s">
        <v>143</v>
      </c>
      <c r="C37" s="162">
        <f>30+(3*TRUNC(1/C31))</f>
        <v>36</v>
      </c>
    </row>
    <row r="38" spans="2:3" s="108" customFormat="1" ht="15" x14ac:dyDescent="0.25">
      <c r="B38" s="161" t="s">
        <v>39</v>
      </c>
      <c r="C38" s="302">
        <v>0.08</v>
      </c>
    </row>
    <row r="39" spans="2:3" s="108" customFormat="1" ht="15.75" thickBot="1" x14ac:dyDescent="0.3">
      <c r="B39" s="164" t="s">
        <v>142</v>
      </c>
      <c r="C39" s="304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E17" sqref="E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206</v>
      </c>
      <c r="B1" s="145"/>
      <c r="C1" s="145"/>
      <c r="E1" s="148"/>
    </row>
    <row r="2" spans="1:8" s="147" customFormat="1" ht="14.25" x14ac:dyDescent="0.2">
      <c r="A2" s="140" t="s">
        <v>254</v>
      </c>
      <c r="B2" s="145"/>
      <c r="C2" s="145"/>
      <c r="E2" s="148"/>
    </row>
    <row r="3" spans="1:8" s="147" customFormat="1" ht="14.25" x14ac:dyDescent="0.2">
      <c r="A3" s="9" t="s">
        <v>207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297" t="s">
        <v>294</v>
      </c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297" t="s">
        <v>291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6" t="s">
        <v>233</v>
      </c>
      <c r="B8" s="347"/>
      <c r="C8" s="347"/>
      <c r="D8" s="347"/>
      <c r="E8" s="347"/>
      <c r="F8" s="348"/>
    </row>
    <row r="9" spans="1:8" ht="16.5" thickBot="1" x14ac:dyDescent="0.25">
      <c r="A9" s="257"/>
      <c r="B9" s="258"/>
      <c r="C9" s="258"/>
      <c r="D9" s="258"/>
      <c r="E9" s="258"/>
      <c r="F9" s="259"/>
    </row>
    <row r="10" spans="1:8" ht="15" x14ac:dyDescent="0.25">
      <c r="A10" s="213"/>
      <c r="B10" s="146"/>
      <c r="C10" s="146"/>
      <c r="D10" s="343" t="s">
        <v>251</v>
      </c>
      <c r="E10" s="344"/>
      <c r="F10" s="345"/>
      <c r="G10" s="147"/>
      <c r="H10" s="147"/>
    </row>
    <row r="11" spans="1:8" ht="15" thickBot="1" x14ac:dyDescent="0.25">
      <c r="A11" s="210"/>
      <c r="B11" s="214"/>
      <c r="C11" s="214"/>
      <c r="D11" s="215" t="s">
        <v>193</v>
      </c>
      <c r="E11" s="216" t="s">
        <v>194</v>
      </c>
      <c r="F11" s="217" t="s">
        <v>195</v>
      </c>
      <c r="G11" s="147"/>
      <c r="H11" s="147"/>
    </row>
    <row r="12" spans="1:8" ht="14.25" x14ac:dyDescent="0.2">
      <c r="A12" s="218" t="s">
        <v>74</v>
      </c>
      <c r="B12" s="219" t="s">
        <v>75</v>
      </c>
      <c r="C12" s="220">
        <v>0.05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76</v>
      </c>
      <c r="B13" s="223" t="s">
        <v>77</v>
      </c>
      <c r="C13" s="224">
        <v>1.3299999999999999E-2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78</v>
      </c>
      <c r="B14" s="223" t="s">
        <v>79</v>
      </c>
      <c r="C14" s="224">
        <v>0.1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80</v>
      </c>
      <c r="B15" s="223" t="s">
        <v>81</v>
      </c>
      <c r="C15" s="225">
        <f>(1+E15)^(E16/252)-1</f>
        <v>0</v>
      </c>
      <c r="D15" s="241" t="s">
        <v>286</v>
      </c>
      <c r="E15" s="226">
        <v>6.4000000000000001E-2</v>
      </c>
      <c r="F15" s="221"/>
      <c r="G15" s="147"/>
      <c r="H15" s="147"/>
    </row>
    <row r="16" spans="1:8" ht="14.25" x14ac:dyDescent="0.2">
      <c r="A16" s="222" t="s">
        <v>82</v>
      </c>
      <c r="B16" s="341" t="s">
        <v>83</v>
      </c>
      <c r="C16" s="224">
        <v>0.04</v>
      </c>
      <c r="D16" s="296" t="s">
        <v>196</v>
      </c>
      <c r="E16" s="227">
        <v>0</v>
      </c>
      <c r="F16" s="228"/>
      <c r="G16" s="147"/>
      <c r="H16" s="147"/>
    </row>
    <row r="17" spans="1:8" ht="15" thickBot="1" x14ac:dyDescent="0.25">
      <c r="A17" s="229" t="s">
        <v>84</v>
      </c>
      <c r="B17" s="342"/>
      <c r="C17" s="230">
        <v>3.6499999999999998E-2</v>
      </c>
      <c r="D17" s="204"/>
      <c r="E17" s="231"/>
      <c r="F17" s="228"/>
      <c r="G17" s="147"/>
      <c r="H17" s="147"/>
    </row>
    <row r="18" spans="1:8" ht="14.25" x14ac:dyDescent="0.2">
      <c r="A18" s="232" t="s">
        <v>85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86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87</v>
      </c>
      <c r="B20" s="239"/>
      <c r="C20" s="240">
        <f>ROUND((((1+C12+C13)*(1+C14)*(1+C15))/(1-(C16+C17))-1),4)</f>
        <v>0.26650000000000001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9" t="s">
        <v>235</v>
      </c>
      <c r="B1" s="350"/>
    </row>
    <row r="2" spans="1:2" s="108" customFormat="1" ht="19.5" customHeight="1" x14ac:dyDescent="0.2">
      <c r="A2" s="260" t="s">
        <v>214</v>
      </c>
      <c r="B2" s="261" t="s">
        <v>288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239</v>
      </c>
    </row>
    <row r="2" spans="1:1" x14ac:dyDescent="0.2">
      <c r="A2" s="247"/>
    </row>
    <row r="3" spans="1:1" x14ac:dyDescent="0.2">
      <c r="A3" s="247" t="s">
        <v>255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236</v>
      </c>
    </row>
    <row r="13" spans="1:1" ht="15" x14ac:dyDescent="0.2">
      <c r="A13" s="248" t="s">
        <v>111</v>
      </c>
    </row>
    <row r="14" spans="1:1" ht="15" x14ac:dyDescent="0.2">
      <c r="A14" s="248" t="s">
        <v>116</v>
      </c>
    </row>
    <row r="15" spans="1:1" ht="19.5" x14ac:dyDescent="0.35">
      <c r="A15" s="248" t="s">
        <v>237</v>
      </c>
    </row>
    <row r="16" spans="1:1" ht="19.5" x14ac:dyDescent="0.35">
      <c r="A16" s="248" t="s">
        <v>238</v>
      </c>
    </row>
    <row r="17" spans="1:1" ht="15.75" thickBot="1" x14ac:dyDescent="0.25">
      <c r="A17" s="249" t="s">
        <v>112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0" sqref="C30"/>
    </sheetView>
  </sheetViews>
  <sheetFormatPr defaultRowHeight="12.75" x14ac:dyDescent="0.2"/>
  <cols>
    <col min="1" max="1" width="58.28515625" style="272" customWidth="1"/>
    <col min="2" max="2" width="11.140625" style="272" bestFit="1" customWidth="1"/>
    <col min="3" max="3" width="11.28515625" style="272" bestFit="1" customWidth="1"/>
    <col min="4" max="16384" width="9.140625" style="272"/>
  </cols>
  <sheetData>
    <row r="1" spans="1:7" x14ac:dyDescent="0.2">
      <c r="A1" s="11" t="s">
        <v>206</v>
      </c>
    </row>
    <row r="2" spans="1:7" x14ac:dyDescent="0.2">
      <c r="A2" s="277" t="s">
        <v>263</v>
      </c>
    </row>
    <row r="3" spans="1:7" x14ac:dyDescent="0.2">
      <c r="A3" s="277" t="s">
        <v>289</v>
      </c>
    </row>
    <row r="4" spans="1:7" x14ac:dyDescent="0.2">
      <c r="A4" s="7" t="s">
        <v>287</v>
      </c>
    </row>
    <row r="5" spans="1:7" x14ac:dyDescent="0.2">
      <c r="A5" s="7"/>
    </row>
    <row r="6" spans="1:7" s="4" customFormat="1" ht="15.6" customHeight="1" x14ac:dyDescent="0.2">
      <c r="A6" s="297" t="s">
        <v>294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297" t="s">
        <v>291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51" t="s">
        <v>283</v>
      </c>
      <c r="B9" s="352"/>
      <c r="C9" s="353"/>
    </row>
    <row r="10" spans="1:7" s="278" customFormat="1" ht="18" x14ac:dyDescent="0.25">
      <c r="A10" s="293"/>
      <c r="B10" s="292"/>
      <c r="C10" s="294"/>
    </row>
    <row r="11" spans="1:7" s="108" customFormat="1" ht="15" x14ac:dyDescent="0.25">
      <c r="A11" s="279" t="s">
        <v>284</v>
      </c>
      <c r="B11" s="280" t="s">
        <v>264</v>
      </c>
      <c r="C11" s="281" t="s">
        <v>146</v>
      </c>
    </row>
    <row r="12" spans="1:7" ht="14.25" x14ac:dyDescent="0.2">
      <c r="A12" s="282" t="s">
        <v>272</v>
      </c>
      <c r="B12" s="283" t="s">
        <v>265</v>
      </c>
      <c r="C12" s="205">
        <v>15550</v>
      </c>
    </row>
    <row r="13" spans="1:7" ht="14.25" x14ac:dyDescent="0.2">
      <c r="A13" s="204" t="s">
        <v>273</v>
      </c>
      <c r="B13" s="284" t="s">
        <v>270</v>
      </c>
      <c r="C13" s="285">
        <f>0.0362741*C12^0.2336249</f>
        <v>0.34585116258010817</v>
      </c>
    </row>
    <row r="14" spans="1:7" ht="14.25" x14ac:dyDescent="0.2">
      <c r="A14" s="204" t="s">
        <v>274</v>
      </c>
      <c r="B14" s="284" t="s">
        <v>271</v>
      </c>
      <c r="C14" s="286">
        <f>C12*C13/1000</f>
        <v>5.3779855781206827</v>
      </c>
    </row>
    <row r="15" spans="1:7" ht="14.25" x14ac:dyDescent="0.2">
      <c r="A15" s="204" t="s">
        <v>280</v>
      </c>
      <c r="B15" s="284" t="s">
        <v>266</v>
      </c>
      <c r="C15" s="287">
        <f>(C14*30)</f>
        <v>161.33956734362047</v>
      </c>
    </row>
    <row r="16" spans="1:7" ht="14.25" x14ac:dyDescent="0.2">
      <c r="A16" s="204" t="s">
        <v>276</v>
      </c>
      <c r="B16" s="284" t="s">
        <v>92</v>
      </c>
      <c r="C16" s="290">
        <v>6</v>
      </c>
    </row>
    <row r="17" spans="1:3" ht="14.25" x14ac:dyDescent="0.2">
      <c r="A17" s="204" t="s">
        <v>275</v>
      </c>
      <c r="B17" s="284" t="s">
        <v>271</v>
      </c>
      <c r="C17" s="286">
        <f>IFERROR(C14*7/C16,0)</f>
        <v>6.2743165078074625</v>
      </c>
    </row>
    <row r="18" spans="1:3" ht="14.25" x14ac:dyDescent="0.2">
      <c r="A18" s="282" t="s">
        <v>267</v>
      </c>
      <c r="B18" s="284" t="s">
        <v>268</v>
      </c>
      <c r="C18" s="228">
        <v>500</v>
      </c>
    </row>
    <row r="19" spans="1:3" ht="14.25" x14ac:dyDescent="0.2">
      <c r="A19" s="204" t="s">
        <v>281</v>
      </c>
      <c r="B19" s="284"/>
      <c r="C19" s="205">
        <v>2</v>
      </c>
    </row>
    <row r="20" spans="1:3" ht="14.25" x14ac:dyDescent="0.2">
      <c r="A20" s="282" t="s">
        <v>282</v>
      </c>
      <c r="B20" s="284" t="s">
        <v>269</v>
      </c>
      <c r="C20" s="205">
        <v>19</v>
      </c>
    </row>
    <row r="21" spans="1:3" ht="14.25" x14ac:dyDescent="0.2">
      <c r="A21" s="204" t="s">
        <v>277</v>
      </c>
      <c r="B21" s="284" t="s">
        <v>266</v>
      </c>
      <c r="C21" s="228">
        <f>IF(AND(C20&gt;=15,C19=1),5.8,C20/2)</f>
        <v>9.5</v>
      </c>
    </row>
    <row r="22" spans="1:3" ht="14.25" x14ac:dyDescent="0.2">
      <c r="A22" s="282" t="s">
        <v>278</v>
      </c>
      <c r="B22" s="284"/>
      <c r="C22" s="286">
        <f>IFERROR(C17/C21,0)</f>
        <v>0.6604543692428908</v>
      </c>
    </row>
    <row r="23" spans="1:3" ht="14.25" x14ac:dyDescent="0.2">
      <c r="A23" s="282" t="s">
        <v>285</v>
      </c>
      <c r="B23" s="284"/>
      <c r="C23" s="295">
        <v>1</v>
      </c>
    </row>
    <row r="24" spans="1:3" ht="15" thickBot="1" x14ac:dyDescent="0.25">
      <c r="A24" s="288" t="s">
        <v>279</v>
      </c>
      <c r="B24" s="289"/>
      <c r="C24" s="291">
        <f>IFERROR(C22/C23,0)</f>
        <v>0.6604543692428908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LIC03</cp:lastModifiedBy>
  <cp:lastPrinted>2020-04-15T11:35:32Z</cp:lastPrinted>
  <dcterms:created xsi:type="dcterms:W3CDTF">2000-12-13T10:02:50Z</dcterms:created>
  <dcterms:modified xsi:type="dcterms:W3CDTF">2020-04-29T13:34:07Z</dcterms:modified>
</cp:coreProperties>
</file>