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000" windowHeight="967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Domiciliar'!$A$1:$F$278</definedName>
    <definedName name="_xlnm.Print_Area" localSheetId="1">'2.Encargos Sociais'!$A$1:$C$39</definedName>
    <definedName name="_xlnm.Print_Titles" localSheetId="0">'1. Coleta Domiciliar'!#REF!</definedName>
  </definedNames>
  <calcPr calcId="145621"/>
</workbook>
</file>

<file path=xl/calcChain.xml><?xml version="1.0" encoding="utf-8"?>
<calcChain xmlns="http://schemas.openxmlformats.org/spreadsheetml/2006/main">
  <c r="D110" i="2" l="1"/>
  <c r="C21" i="9" l="1"/>
  <c r="C23" i="5" l="1"/>
  <c r="C195" i="2" l="1"/>
  <c r="C194" i="2"/>
  <c r="C196" i="2"/>
  <c r="A26" i="2" l="1"/>
  <c r="A25" i="2"/>
  <c r="A24" i="2"/>
  <c r="A16" i="2"/>
  <c r="A15" i="2"/>
  <c r="A7" i="2"/>
  <c r="C13" i="9" l="1"/>
  <c r="C14" i="9" s="1"/>
  <c r="C15" i="9" l="1"/>
  <c r="C17" i="9"/>
  <c r="C22" i="9" s="1"/>
  <c r="C24" i="9" s="1"/>
  <c r="C165" i="2"/>
  <c r="C170" i="2"/>
  <c r="E35" i="2" l="1"/>
  <c r="E34" i="2"/>
  <c r="E33" i="2"/>
  <c r="E32" i="2"/>
  <c r="E39" i="2"/>
  <c r="C189" i="2" l="1"/>
  <c r="C184" i="2"/>
  <c r="D214" i="2"/>
  <c r="D212" i="2"/>
  <c r="D210" i="2"/>
  <c r="D208" i="2"/>
  <c r="D144" i="2" l="1"/>
  <c r="E144" i="2" s="1"/>
  <c r="E128" i="2"/>
  <c r="E129" i="2"/>
  <c r="E130" i="2"/>
  <c r="E131" i="2"/>
  <c r="E132" i="2"/>
  <c r="E133" i="2"/>
  <c r="E134" i="2"/>
  <c r="E135" i="2"/>
  <c r="E136" i="2"/>
  <c r="E127" i="2"/>
  <c r="D50" i="2" l="1"/>
  <c r="E50" i="2" s="1"/>
  <c r="D49" i="2"/>
  <c r="E49" i="2" s="1"/>
  <c r="D75" i="2"/>
  <c r="E75" i="2" s="1"/>
  <c r="D51" i="2" l="1"/>
  <c r="E51" i="2" s="1"/>
  <c r="D76" i="2"/>
  <c r="E76" i="2" s="1"/>
  <c r="D77" i="2" s="1"/>
  <c r="E77" i="2" s="1"/>
  <c r="C229" i="2" l="1"/>
  <c r="D89" i="2"/>
  <c r="A23" i="2"/>
  <c r="A22" i="2"/>
  <c r="A21" i="2"/>
  <c r="A20" i="2"/>
  <c r="A19" i="2"/>
  <c r="A18" i="2"/>
  <c r="A17" i="2"/>
  <c r="A14" i="2"/>
  <c r="A13" i="2"/>
  <c r="A12" i="2"/>
  <c r="A11" i="2"/>
  <c r="A10" i="2"/>
  <c r="A9" i="2"/>
  <c r="A8" i="2"/>
  <c r="C20" i="8"/>
  <c r="E254" i="2"/>
  <c r="E198" i="2"/>
  <c r="E190" i="2"/>
  <c r="E174" i="2"/>
  <c r="E152" i="2"/>
  <c r="E139" i="2"/>
  <c r="E118" i="2"/>
  <c r="E98" i="2"/>
  <c r="E84" i="2"/>
  <c r="E69" i="2"/>
  <c r="E57" i="2"/>
  <c r="D178" i="2"/>
  <c r="C15" i="4"/>
  <c r="C20" i="4" s="1"/>
  <c r="C263" i="2" s="1"/>
  <c r="F13" i="4"/>
  <c r="E13" i="4"/>
  <c r="D13" i="4"/>
  <c r="C17" i="8"/>
  <c r="C25" i="5"/>
  <c r="C93" i="2"/>
  <c r="C91" i="2"/>
  <c r="D88" i="2"/>
  <c r="E73" i="2"/>
  <c r="D105" i="2" s="1"/>
  <c r="C105" i="2"/>
  <c r="C227" i="2"/>
  <c r="E227" i="2" s="1"/>
  <c r="C206" i="2"/>
  <c r="C208" i="2" s="1"/>
  <c r="E208" i="2" s="1"/>
  <c r="D206" i="2"/>
  <c r="D215" i="2" s="1"/>
  <c r="E162" i="2"/>
  <c r="D183" i="2"/>
  <c r="C171" i="2"/>
  <c r="C166" i="2"/>
  <c r="C63" i="2"/>
  <c r="D61" i="2"/>
  <c r="C250" i="2"/>
  <c r="C252" i="2" s="1"/>
  <c r="E252" i="2" s="1"/>
  <c r="D253" i="2" s="1"/>
  <c r="E253" i="2" s="1"/>
  <c r="C167" i="2"/>
  <c r="C183" i="2" s="1"/>
  <c r="C104" i="2"/>
  <c r="A32" i="2"/>
  <c r="A33" i="2"/>
  <c r="A34" i="2"/>
  <c r="A35" i="2"/>
  <c r="A39" i="2"/>
  <c r="E48" i="2"/>
  <c r="D104" i="2" s="1"/>
  <c r="C64" i="2"/>
  <c r="A110" i="2"/>
  <c r="A116" i="2" s="1"/>
  <c r="A111" i="2"/>
  <c r="A117" i="2" s="1"/>
  <c r="E137" i="2"/>
  <c r="D145" i="2"/>
  <c r="E145" i="2" s="1"/>
  <c r="D146" i="2"/>
  <c r="E146" i="2" s="1"/>
  <c r="D147" i="2"/>
  <c r="E147" i="2" s="1"/>
  <c r="D148" i="2"/>
  <c r="E148" i="2" s="1"/>
  <c r="D149" i="2"/>
  <c r="E149" i="2" s="1"/>
  <c r="E150" i="2"/>
  <c r="E225" i="2"/>
  <c r="E196" i="2"/>
  <c r="E195" i="2"/>
  <c r="E238" i="2"/>
  <c r="E241" i="2"/>
  <c r="E242" i="2"/>
  <c r="E239" i="2"/>
  <c r="E240" i="2"/>
  <c r="D79" i="2"/>
  <c r="E79" i="2" s="1"/>
  <c r="C27" i="5" l="1"/>
  <c r="C28" i="5" s="1"/>
  <c r="C26" i="5"/>
  <c r="C31" i="8" s="1"/>
  <c r="D165" i="2"/>
  <c r="E165" i="2" s="1"/>
  <c r="D194" i="2"/>
  <c r="E88" i="2"/>
  <c r="D91" i="2"/>
  <c r="E91" i="2" s="1"/>
  <c r="C212" i="2"/>
  <c r="E212" i="2" s="1"/>
  <c r="D63" i="2"/>
  <c r="E63" i="2" s="1"/>
  <c r="C214" i="2"/>
  <c r="E214" i="2" s="1"/>
  <c r="F243" i="2"/>
  <c r="F245" i="2" s="1"/>
  <c r="E24" i="2" s="1"/>
  <c r="C111" i="2"/>
  <c r="E111" i="2" s="1"/>
  <c r="E206" i="2"/>
  <c r="E61" i="2"/>
  <c r="E167" i="2"/>
  <c r="C185" i="2" s="1"/>
  <c r="D138" i="2"/>
  <c r="C110" i="2"/>
  <c r="E110" i="2" s="1"/>
  <c r="C138" i="2"/>
  <c r="E36" i="2"/>
  <c r="C116" i="2"/>
  <c r="E116" i="2" s="1"/>
  <c r="E104" i="2"/>
  <c r="E183" i="2"/>
  <c r="C117" i="2"/>
  <c r="E117" i="2" s="1"/>
  <c r="D52" i="2"/>
  <c r="E52" i="2" s="1"/>
  <c r="E53" i="2" s="1"/>
  <c r="D54" i="2" s="1"/>
  <c r="C151" i="2"/>
  <c r="C210" i="2"/>
  <c r="E210" i="2" s="1"/>
  <c r="C220" i="2"/>
  <c r="E220" i="2" s="1"/>
  <c r="F221" i="2" s="1"/>
  <c r="E22" i="2" s="1"/>
  <c r="E250" i="2"/>
  <c r="D251" i="2" s="1"/>
  <c r="E251" i="2" s="1"/>
  <c r="F254" i="2" s="1"/>
  <c r="F256" i="2" s="1"/>
  <c r="E25" i="2" s="1"/>
  <c r="E178" i="2"/>
  <c r="D228" i="2"/>
  <c r="E228" i="2" s="1"/>
  <c r="D229" i="2" s="1"/>
  <c r="E229" i="2" s="1"/>
  <c r="F230" i="2" s="1"/>
  <c r="E23" i="2" s="1"/>
  <c r="E105" i="2"/>
  <c r="D151" i="2"/>
  <c r="E80" i="2"/>
  <c r="C30" i="8" l="1"/>
  <c r="C33" i="5"/>
  <c r="C27" i="8" s="1"/>
  <c r="C35" i="8" s="1"/>
  <c r="D166" i="2"/>
  <c r="E166" i="2" s="1"/>
  <c r="E194" i="2"/>
  <c r="D197" i="2" s="1"/>
  <c r="E197" i="2" s="1"/>
  <c r="F198" i="2" s="1"/>
  <c r="E20" i="2" s="1"/>
  <c r="C180" i="2"/>
  <c r="C181" i="2" s="1"/>
  <c r="D182" i="2" s="1"/>
  <c r="E182" i="2" s="1"/>
  <c r="C28" i="8"/>
  <c r="C19" i="8"/>
  <c r="C25" i="8" s="1"/>
  <c r="C34" i="8" s="1"/>
  <c r="D64" i="2"/>
  <c r="E64" i="2" s="1"/>
  <c r="D93" i="2"/>
  <c r="E93" i="2" s="1"/>
  <c r="F112" i="2"/>
  <c r="E13" i="2" s="1"/>
  <c r="F118" i="2"/>
  <c r="E14" i="2" s="1"/>
  <c r="E151" i="2"/>
  <c r="F152" i="2" s="1"/>
  <c r="E138" i="2"/>
  <c r="F139" i="2" s="1"/>
  <c r="D170" i="2"/>
  <c r="E170" i="2" s="1"/>
  <c r="D171" i="2" s="1"/>
  <c r="E171" i="2" s="1"/>
  <c r="F106" i="2"/>
  <c r="E12" i="2" s="1"/>
  <c r="F216" i="2"/>
  <c r="E21" i="2" s="1"/>
  <c r="D81" i="2"/>
  <c r="C29" i="8" l="1"/>
  <c r="C32" i="8" s="1"/>
  <c r="C36" i="8"/>
  <c r="E172" i="2"/>
  <c r="D173" i="2" s="1"/>
  <c r="E173" i="2" s="1"/>
  <c r="F174" i="2" s="1"/>
  <c r="E18" i="2" s="1"/>
  <c r="C186" i="2"/>
  <c r="D187" i="2" s="1"/>
  <c r="E187" i="2" s="1"/>
  <c r="E188" i="2" s="1"/>
  <c r="D189" i="2" s="1"/>
  <c r="E189" i="2" s="1"/>
  <c r="F190" i="2" s="1"/>
  <c r="F154" i="2"/>
  <c r="E15" i="2" s="1"/>
  <c r="E94" i="2"/>
  <c r="D95" i="2" s="1"/>
  <c r="E65" i="2"/>
  <c r="C37" i="8" l="1"/>
  <c r="C81" i="2" s="1"/>
  <c r="E19" i="2"/>
  <c r="E17" i="2" s="1"/>
  <c r="F233" i="2"/>
  <c r="E16" i="2" s="1"/>
  <c r="D66" i="2"/>
  <c r="C66" i="2" l="1"/>
  <c r="E66" i="2" s="1"/>
  <c r="E67" i="2" s="1"/>
  <c r="D68" i="2" s="1"/>
  <c r="E68" i="2" s="1"/>
  <c r="F69" i="2" s="1"/>
  <c r="E9" i="2" s="1"/>
  <c r="C54" i="2"/>
  <c r="E54" i="2" s="1"/>
  <c r="E55" i="2" s="1"/>
  <c r="D56" i="2" s="1"/>
  <c r="E56" i="2" s="1"/>
  <c r="F57" i="2" s="1"/>
  <c r="E8" i="2" s="1"/>
  <c r="C95" i="2"/>
  <c r="E95" i="2" s="1"/>
  <c r="E96" i="2" s="1"/>
  <c r="D97" i="2" s="1"/>
  <c r="E97" i="2" s="1"/>
  <c r="F98" i="2" s="1"/>
  <c r="E11" i="2" s="1"/>
  <c r="E81" i="2"/>
  <c r="E82" i="2" s="1"/>
  <c r="D83" i="2" s="1"/>
  <c r="E83" i="2" s="1"/>
  <c r="F84" i="2" s="1"/>
  <c r="E10" i="2" s="1"/>
  <c r="F120" i="2" l="1"/>
  <c r="F258" i="2" s="1"/>
  <c r="E7" i="2" l="1"/>
  <c r="D263" i="2"/>
  <c r="E263" i="2" s="1"/>
  <c r="F264" i="2" s="1"/>
  <c r="F266" i="2" s="1"/>
  <c r="E26" i="2" s="1"/>
  <c r="E27" i="2" l="1"/>
  <c r="F7" i="2" s="1"/>
  <c r="F269" i="2"/>
  <c r="F274" i="2" s="1"/>
  <c r="F25" i="2" l="1"/>
  <c r="F9" i="2"/>
  <c r="F15" i="2"/>
  <c r="F8" i="2"/>
  <c r="F14" i="2"/>
  <c r="F11" i="2"/>
  <c r="F16" i="2"/>
  <c r="F23" i="2"/>
  <c r="F22" i="2"/>
  <c r="F10" i="2"/>
  <c r="F17" i="2"/>
  <c r="F18" i="2"/>
  <c r="F19" i="2"/>
  <c r="F13" i="2"/>
  <c r="F20" i="2"/>
  <c r="F12" i="2"/>
  <c r="F24" i="2"/>
  <c r="F21" i="2"/>
  <c r="F26" i="2"/>
  <c r="F27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6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3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4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5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7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9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1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3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90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02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05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1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7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4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6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6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6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8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7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3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9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0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0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0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7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9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11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11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13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13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20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26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8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238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8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9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9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0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0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0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52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63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72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9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<sst xmlns="http://schemas.openxmlformats.org/spreadsheetml/2006/main" count="562" uniqueCount="312">
  <si>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</si>
  <si>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</si>
  <si>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</si>
  <si>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</si>
  <si>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</si>
  <si>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</si>
  <si>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</si>
  <si>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</si>
  <si>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</si>
  <si>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</si>
  <si>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</si>
  <si>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</si>
  <si>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</si>
  <si>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</si>
  <si>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</si>
  <si>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</si>
  <si>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</si>
  <si>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</si>
  <si>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</si>
  <si>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</si>
  <si>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</si>
  <si>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</si>
  <si>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</si>
  <si>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</si>
  <si>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</si>
  <si>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</si>
  <si>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</si>
  <si>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</si>
  <si>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</si>
  <si>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</si>
  <si>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</si>
  <si>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</si>
  <si>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</si>
  <si>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</si>
  <si>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</si>
  <si>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</si>
  <si>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</si>
  <si>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</si>
  <si>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</si>
  <si>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</si>
  <si>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</si>
  <si>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</si>
  <si>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</si>
  <si>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</si>
  <si>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</si>
  <si>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</si>
  <si>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</si>
  <si>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</si>
  <si>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</si>
  <si>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</si>
  <si>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</si>
  <si>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</si>
  <si>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</si>
  <si>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</si>
  <si>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</si>
  <si>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</si>
  <si>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</si>
  <si>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</si>
  <si>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</si>
  <si>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</si>
  <si>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</si>
  <si>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</si>
  <si>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</si>
  <si>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</si>
  <si>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</si>
  <si>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</si>
  <si>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</si>
  <si>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</si>
  <si>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</si>
  <si>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</si>
  <si>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</si>
  <si>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</si>
  <si>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</si>
  <si>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</si>
  <si>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</si>
  <si>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</si>
  <si>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</si>
  <si>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</si>
  <si>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</si>
  <si>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</si>
  <si>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</si>
  <si>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</si>
  <si>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</si>
  <si>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</si>
  <si>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</si>
  <si>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</si>
  <si>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</si>
  <si>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</si>
  <si>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</si>
  <si>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</si>
  <si>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</si>
  <si>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</si>
  <si>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</si>
  <si>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</si>
  <si>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</si>
  <si>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</si>
  <si>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</si>
  <si>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</si>
  <si>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</si>
  <si>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</si>
  <si>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</si>
  <si>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</si>
  <si>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</si>
  <si>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</si>
  <si>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</si>
  <si>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</si>
  <si>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</si>
  <si>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</si>
  <si>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</si>
  <si>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</si>
  <si>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</si>
  <si>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</si>
  <si>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</si>
  <si>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</si>
  <si>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</si>
  <si>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</si>
  <si>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</si>
  <si>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</si>
  <si>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</si>
  <si>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</si>
  <si>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</si>
  <si>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</si>
  <si>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</si>
  <si>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</si>
  <si>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</si>
  <si>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</si>
  <si>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</si>
  <si>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</si>
  <si>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</si>
  <si>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</si>
  <si>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</si>
  <si>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</si>
  <si>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</si>
  <si>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</si>
  <si>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</si>
  <si>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</si>
  <si>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</si>
  <si>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</si>
  <si>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</si>
  <si>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</si>
  <si>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</si>
  <si>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</si>
  <si>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</si>
  <si>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</si>
  <si>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</si>
  <si>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</si>
  <si>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</si>
  <si>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</si>
  <si>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</si>
  <si>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</si>
  <si>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</si>
  <si>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</si>
  <si>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</si>
  <si>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</si>
  <si>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</si>
  <si>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</si>
  <si>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</si>
  <si>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</si>
  <si>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</si>
  <si>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</si>
  <si>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</si>
  <si>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</si>
  <si>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</si>
  <si>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</si>
  <si>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</si>
  <si>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</si>
  <si>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</si>
  <si>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</si>
  <si>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</si>
  <si>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</si>
  <si>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</si>
  <si>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</si>
  <si>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</si>
  <si>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</si>
  <si>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</si>
  <si>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</si>
  <si>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</si>
  <si>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</si>
  <si>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</si>
  <si>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</si>
  <si>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</si>
  <si>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</si>
  <si>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</si>
  <si>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</si>
  <si>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</si>
  <si>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</si>
  <si>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</si>
  <si>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</si>
  <si>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</si>
  <si>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</si>
  <si>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</si>
  <si>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</si>
  <si>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</si>
  <si>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</si>
  <si>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</si>
  <si>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</si>
  <si>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</si>
  <si>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</si>
  <si>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</si>
  <si>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</si>
  <si>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</si>
  <si>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</si>
  <si>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</si>
  <si>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</si>
  <si>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</si>
  <si>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</si>
  <si>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</si>
  <si>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</si>
  <si>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</si>
  <si>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</si>
  <si>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</si>
  <si>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</si>
  <si>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</si>
  <si>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</si>
  <si>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</si>
  <si>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</si>
  <si>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</si>
  <si>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</si>
  <si>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</si>
  <si>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</si>
  <si>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</si>
  <si>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</si>
  <si>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</si>
  <si>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</si>
  <si>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</si>
  <si>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</si>
  <si>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</si>
  <si>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</si>
  <si>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</si>
  <si>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</si>
  <si>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</si>
  <si>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</si>
  <si>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</si>
  <si>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</si>
  <si>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</si>
  <si>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</si>
  <si>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</si>
  <si>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</si>
  <si>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</si>
  <si>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</si>
  <si>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</si>
  <si>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</si>
  <si>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</si>
  <si>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</si>
  <si>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</si>
  <si>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</si>
  <si>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</si>
  <si>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</si>
  <si>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</si>
  <si>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</si>
  <si>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</si>
  <si>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</si>
  <si>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</si>
  <si>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</si>
  <si>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</si>
  <si>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</si>
  <si>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</si>
  <si>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</si>
  <si>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50% explícita no edital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</si>
  <si>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</si>
  <si>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</si>
  <si>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</si>
  <si>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</si>
  <si>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</si>
  <si>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</si>
  <si>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</si>
  <si>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</si>
  <si>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</si>
  <si>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</si>
  <si>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</si>
  <si>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</si>
  <si>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</si>
  <si>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</si>
  <si>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</si>
  <si>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</si>
  <si>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</si>
  <si>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</si>
  <si>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</si>
  <si>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</si>
  <si>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</si>
  <si>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</si>
  <si>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</si>
  <si>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</si>
  <si>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</si>
  <si>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</si>
  <si>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</si>
  <si>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</si>
  <si>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</si>
  <si>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</si>
  <si>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</si>
  <si>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</si>
  <si>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</si>
  <si>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</si>
  <si>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</si>
  <si>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</si>
  <si>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</si>
  <si>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</si>
  <si>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</si>
  <si>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</si>
  <si>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</si>
  <si>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</si>
  <si>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</si>
  <si>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</si>
  <si>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Preencha as células em amarelo</t>
  </si>
  <si>
    <t>Tendo em vista que o CAGED foi descontinuado em janeiro de 2020, esta planilha foi atualizada até 31/12/2019.</t>
  </si>
  <si>
    <t>Ajustado, de acordo com a nova Lei Federal nº 13.932/2019</t>
  </si>
  <si>
    <t>PREÇO POR LITRO COLETADO:  [A/B]</t>
  </si>
  <si>
    <t>LITROS</t>
  </si>
  <si>
    <t>R$/LITROS</t>
  </si>
  <si>
    <r>
      <t>3.1. Veículo Coletor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</si>
  <si>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 xml:space="preserve">1. Coleta de Resíduos Contaminados </t>
  </si>
  <si>
    <t>São Francisco de Assis, 24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</si>
</sst>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0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11" xfId="3" applyFont="1" applyBorder="1" applyAlignment="1">
      <alignment vertical="center"/>
    </xf>
    <xf numFmtId="166" fontId="3" fillId="0" borderId="12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3" applyFont="1" applyBorder="1" applyAlignment="1">
      <alignment vertical="center"/>
    </xf>
    <xf numFmtId="166" fontId="3" fillId="0" borderId="13" xfId="3" applyFont="1" applyBorder="1" applyAlignment="1">
      <alignment horizontal="right" vertical="center"/>
    </xf>
    <xf numFmtId="166" fontId="0" fillId="0" borderId="14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6" fontId="13" fillId="2" borderId="17" xfId="3" applyFont="1" applyFill="1" applyBorder="1" applyAlignment="1">
      <alignment horizontal="center" vertical="center"/>
    </xf>
    <xf numFmtId="166" fontId="13" fillId="2" borderId="18" xfId="3" applyFont="1" applyFill="1" applyBorder="1" applyAlignment="1">
      <alignment horizontal="center" vertical="center"/>
    </xf>
    <xf numFmtId="166" fontId="3" fillId="0" borderId="19" xfId="3" applyFont="1" applyBorder="1" applyAlignment="1">
      <alignment horizontal="center" vertical="center"/>
    </xf>
    <xf numFmtId="166" fontId="1" fillId="0" borderId="14" xfId="3" applyFont="1" applyBorder="1" applyAlignment="1">
      <alignment horizontal="left" vertical="center"/>
    </xf>
    <xf numFmtId="166" fontId="6" fillId="0" borderId="9" xfId="3" applyFont="1" applyBorder="1" applyAlignment="1">
      <alignment vertical="center"/>
    </xf>
    <xf numFmtId="166" fontId="6" fillId="0" borderId="14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6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6" fontId="6" fillId="0" borderId="19" xfId="3" applyFont="1" applyBorder="1" applyAlignment="1">
      <alignment vertical="center"/>
    </xf>
    <xf numFmtId="166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6" fontId="13" fillId="2" borderId="33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6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4" xfId="3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6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166" fontId="6" fillId="0" borderId="40" xfId="3" applyFont="1" applyBorder="1" applyAlignment="1">
      <alignment vertical="center"/>
    </xf>
    <xf numFmtId="166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3" borderId="9" xfId="3" applyNumberFormat="1" applyFont="1" applyFill="1" applyBorder="1" applyAlignment="1">
      <alignment vertical="center"/>
    </xf>
    <xf numFmtId="166" fontId="3" fillId="0" borderId="7" xfId="3" applyFont="1" applyBorder="1" applyAlignment="1">
      <alignment horizontal="right" vertical="center"/>
    </xf>
    <xf numFmtId="166" fontId="3" fillId="2" borderId="4" xfId="3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6" xfId="0" applyNumberFormat="1" applyFont="1" applyBorder="1" applyAlignment="1">
      <alignment vertical="center"/>
    </xf>
    <xf numFmtId="166" fontId="3" fillId="0" borderId="11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6" fontId="3" fillId="0" borderId="54" xfId="3" applyFont="1" applyBorder="1" applyAlignment="1">
      <alignment horizontal="center" vertical="center"/>
    </xf>
    <xf numFmtId="166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20" xfId="3" applyNumberFormat="1" applyFont="1" applyBorder="1" applyAlignment="1">
      <alignment horizontal="center" vertical="center" wrapText="1"/>
    </xf>
    <xf numFmtId="172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2" fontId="5" fillId="3" borderId="20" xfId="0" applyNumberFormat="1" applyFont="1" applyFill="1" applyBorder="1"/>
    <xf numFmtId="172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3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1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0" fillId="0" borderId="0" xfId="0" applyFont="1"/>
    <xf numFmtId="0" fontId="1" fillId="0" borderId="2" xfId="0" applyFont="1" applyBorder="1" applyAlignment="1">
      <alignment vertical="center"/>
    </xf>
    <xf numFmtId="170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0" fontId="1" fillId="3" borderId="1" xfId="0" applyFont="1" applyFill="1" applyBorder="1" applyAlignment="1">
      <alignment horizontal="center" vertical="center"/>
    </xf>
    <xf numFmtId="166" fontId="1" fillId="0" borderId="10" xfId="3" applyFont="1" applyBorder="1" applyAlignment="1">
      <alignment vertical="center"/>
    </xf>
    <xf numFmtId="166" fontId="32" fillId="0" borderId="0" xfId="3" applyFont="1" applyAlignment="1">
      <alignment horizontal="center" vertical="center"/>
    </xf>
    <xf numFmtId="166" fontId="4" fillId="0" borderId="0" xfId="3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166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3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tabSelected="1" view="pageBreakPreview" topLeftCell="A244" zoomScaleNormal="100" zoomScaleSheetLayoutView="100" workbookViewId="0">
      <selection activeCell="G57" sqref="G57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6.5" customHeight="1" thickBot="1" x14ac:dyDescent="0.25">
      <c r="A1" s="7"/>
      <c r="B1" s="5"/>
      <c r="C1" s="5"/>
      <c r="D1" s="6"/>
      <c r="E1" s="6"/>
      <c r="F1" s="6"/>
      <c r="G1" s="6"/>
    </row>
    <row r="2" spans="1:7" s="8" customFormat="1" ht="18" x14ac:dyDescent="0.2">
      <c r="A2" s="320" t="s">
        <v>310</v>
      </c>
      <c r="B2" s="321"/>
      <c r="C2" s="321"/>
      <c r="D2" s="321"/>
      <c r="E2" s="321"/>
      <c r="F2" s="322"/>
      <c r="G2" s="36"/>
    </row>
    <row r="3" spans="1:7" s="8" customFormat="1" ht="21.75" customHeight="1" x14ac:dyDescent="0.2">
      <c r="A3" s="323" t="s">
        <v>43</v>
      </c>
      <c r="B3" s="324"/>
      <c r="C3" s="324"/>
      <c r="D3" s="324"/>
      <c r="E3" s="324"/>
      <c r="F3" s="325"/>
      <c r="G3" s="36"/>
    </row>
    <row r="4" spans="1:7" s="4" customFormat="1" ht="10.9" customHeight="1" thickBot="1" x14ac:dyDescent="0.25">
      <c r="A4" s="151"/>
      <c r="B4" s="152"/>
      <c r="C4" s="152"/>
      <c r="D4" s="153"/>
      <c r="E4" s="153"/>
      <c r="F4" s="154"/>
      <c r="G4" s="6"/>
    </row>
    <row r="5" spans="1:7" s="4" customFormat="1" ht="15.75" customHeight="1" thickBot="1" x14ac:dyDescent="0.25">
      <c r="A5" s="329" t="s">
        <v>209</v>
      </c>
      <c r="B5" s="330"/>
      <c r="C5" s="330"/>
      <c r="D5" s="330"/>
      <c r="E5" s="330"/>
      <c r="F5" s="331"/>
      <c r="G5" s="6"/>
    </row>
    <row r="6" spans="1:7" s="4" customFormat="1" ht="15.75" customHeight="1" x14ac:dyDescent="0.2">
      <c r="A6" s="64" t="s">
        <v>208</v>
      </c>
      <c r="B6" s="40"/>
      <c r="C6" s="40"/>
      <c r="D6" s="260"/>
      <c r="E6" s="116" t="s">
        <v>38</v>
      </c>
      <c r="F6" s="41" t="s">
        <v>2</v>
      </c>
      <c r="G6" s="6"/>
    </row>
    <row r="7" spans="1:7" s="11" customFormat="1" ht="15.75" customHeight="1" x14ac:dyDescent="0.2">
      <c r="A7" s="126" t="str">
        <f>A44</f>
        <v>1. Mão-de-obra</v>
      </c>
      <c r="B7" s="127"/>
      <c r="C7" s="128"/>
      <c r="D7" s="128"/>
      <c r="E7" s="257">
        <f>+F120</f>
        <v>2742.2690219558399</v>
      </c>
      <c r="F7" s="129">
        <f>IFERROR(E7/$E$27,0)</f>
        <v>0.41945191911342139</v>
      </c>
      <c r="G7" s="44"/>
    </row>
    <row r="8" spans="1:7" s="4" customFormat="1" ht="15.75" customHeight="1" x14ac:dyDescent="0.2">
      <c r="A8" s="49" t="str">
        <f>A46</f>
        <v>1.1. Coletor Turno Dia</v>
      </c>
      <c r="B8" s="45"/>
      <c r="C8" s="47"/>
      <c r="D8" s="47"/>
      <c r="E8" s="258">
        <f>F57</f>
        <v>834.29012047863989</v>
      </c>
      <c r="F8" s="58">
        <f>IFERROR(E8/$E$27,0)</f>
        <v>0.12761132818491519</v>
      </c>
      <c r="G8" s="6"/>
    </row>
    <row r="9" spans="1:7" s="4" customFormat="1" ht="15.75" customHeight="1" x14ac:dyDescent="0.2">
      <c r="A9" s="49" t="str">
        <f>A59</f>
        <v>1.2. Coletor Turno Noite</v>
      </c>
      <c r="B9" s="45"/>
      <c r="C9" s="47"/>
      <c r="D9" s="47"/>
      <c r="E9" s="258">
        <f>F69</f>
        <v>0</v>
      </c>
      <c r="F9" s="58">
        <f t="shared" ref="F9:F26" si="0">IFERROR(E9/$E$27,0)</f>
        <v>0</v>
      </c>
      <c r="G9" s="6"/>
    </row>
    <row r="10" spans="1:7" s="4" customFormat="1" ht="15.75" customHeight="1" x14ac:dyDescent="0.2">
      <c r="A10" s="49" t="str">
        <f>A71</f>
        <v>1.3. Motorista Turno do Dia</v>
      </c>
      <c r="B10" s="45"/>
      <c r="C10" s="47"/>
      <c r="D10" s="47"/>
      <c r="E10" s="258">
        <f>F84</f>
        <v>823.20650147719994</v>
      </c>
      <c r="F10" s="58">
        <f t="shared" si="0"/>
        <v>0.12591600025623509</v>
      </c>
      <c r="G10" s="6"/>
    </row>
    <row r="11" spans="1:7" s="4" customFormat="1" ht="15.75" customHeight="1" x14ac:dyDescent="0.2">
      <c r="A11" s="49" t="str">
        <f>A86</f>
        <v>1.4. Motorista Turno Noite</v>
      </c>
      <c r="B11" s="45"/>
      <c r="C11" s="47"/>
      <c r="D11" s="47"/>
      <c r="E11" s="258">
        <f>F98</f>
        <v>0</v>
      </c>
      <c r="F11" s="58">
        <f t="shared" si="0"/>
        <v>0</v>
      </c>
      <c r="G11" s="6"/>
    </row>
    <row r="12" spans="1:7" s="4" customFormat="1" ht="15.75" customHeight="1" x14ac:dyDescent="0.2">
      <c r="A12" s="49" t="str">
        <f>A100</f>
        <v>1.5. Vale Transporte</v>
      </c>
      <c r="B12" s="45"/>
      <c r="C12" s="47"/>
      <c r="D12" s="47"/>
      <c r="E12" s="258">
        <f>F106</f>
        <v>18.752400000000023</v>
      </c>
      <c r="F12" s="58">
        <f t="shared" si="0"/>
        <v>2.8683291482367187E-3</v>
      </c>
      <c r="G12" s="6"/>
    </row>
    <row r="13" spans="1:7" s="4" customFormat="1" ht="15.75" customHeight="1" x14ac:dyDescent="0.2">
      <c r="A13" s="49" t="str">
        <f>A108</f>
        <v>1.6. Vale-refeição (diário)</v>
      </c>
      <c r="B13" s="45"/>
      <c r="C13" s="47"/>
      <c r="D13" s="47"/>
      <c r="E13" s="258">
        <f>F112</f>
        <v>1041.56</v>
      </c>
      <c r="F13" s="58">
        <f t="shared" si="0"/>
        <v>0.15931490943225574</v>
      </c>
      <c r="G13" s="6"/>
    </row>
    <row r="14" spans="1:7" s="4" customFormat="1" ht="15.75" customHeight="1" x14ac:dyDescent="0.2">
      <c r="A14" s="49" t="str">
        <f>A114</f>
        <v>1.7. Auxílio Alimentação (mensal)</v>
      </c>
      <c r="B14" s="45"/>
      <c r="C14" s="47"/>
      <c r="D14" s="47"/>
      <c r="E14" s="258">
        <f>F118</f>
        <v>24.46</v>
      </c>
      <c r="F14" s="58">
        <f t="shared" si="0"/>
        <v>3.7413520917786549E-3</v>
      </c>
      <c r="G14" s="6"/>
    </row>
    <row r="15" spans="1:7" s="11" customFormat="1" ht="15.75" customHeight="1" x14ac:dyDescent="0.2">
      <c r="A15" s="318" t="str">
        <f>A122</f>
        <v>2. Uniformes e Equipamentos de Proteção Individual</v>
      </c>
      <c r="B15" s="319"/>
      <c r="C15" s="319"/>
      <c r="D15" s="128"/>
      <c r="E15" s="257">
        <f>+F154</f>
        <v>0.83333333333333337</v>
      </c>
      <c r="F15" s="129">
        <f t="shared" si="0"/>
        <v>1.2746497995975249E-4</v>
      </c>
      <c r="G15" s="44"/>
    </row>
    <row r="16" spans="1:7" s="11" customFormat="1" ht="15.75" customHeight="1" x14ac:dyDescent="0.2">
      <c r="A16" s="137" t="str">
        <f>A156</f>
        <v>3. Veículos e Equipamentos</v>
      </c>
      <c r="B16" s="138"/>
      <c r="C16" s="128"/>
      <c r="D16" s="128"/>
      <c r="E16" s="257">
        <f>+F233</f>
        <v>2349.4107130666666</v>
      </c>
      <c r="F16" s="129">
        <f t="shared" si="0"/>
        <v>0.35936110734992455</v>
      </c>
      <c r="G16" s="44"/>
    </row>
    <row r="17" spans="1:7" s="4" customFormat="1" ht="15.75" customHeight="1" x14ac:dyDescent="0.2">
      <c r="A17" s="65" t="str">
        <f>A158</f>
        <v>3.1. Veículo Coletor xx m³</v>
      </c>
      <c r="B17" s="46"/>
      <c r="C17" s="47"/>
      <c r="D17" s="47"/>
      <c r="E17" s="258">
        <f>SUM(E18:E23)</f>
        <v>2349.4107130666666</v>
      </c>
      <c r="F17" s="144">
        <f t="shared" si="0"/>
        <v>0.35936110734992455</v>
      </c>
      <c r="G17" s="6"/>
    </row>
    <row r="18" spans="1:7" s="4" customFormat="1" ht="15.75" customHeight="1" x14ac:dyDescent="0.2">
      <c r="A18" s="65" t="str">
        <f>A160</f>
        <v>3.1.1. Depreciação</v>
      </c>
      <c r="B18" s="46"/>
      <c r="C18" s="47"/>
      <c r="D18" s="47"/>
      <c r="E18" s="258">
        <f>F174</f>
        <v>579.99999999999989</v>
      </c>
      <c r="F18" s="144">
        <f t="shared" si="0"/>
        <v>8.8715626051987712E-2</v>
      </c>
      <c r="G18" s="6"/>
    </row>
    <row r="19" spans="1:7" s="4" customFormat="1" ht="15.75" customHeight="1" x14ac:dyDescent="0.2">
      <c r="A19" s="65" t="str">
        <f>A176</f>
        <v>3.1.2. Remuneração do Capital</v>
      </c>
      <c r="B19" s="46"/>
      <c r="C19" s="47"/>
      <c r="D19" s="47"/>
      <c r="E19" s="258">
        <f>F190</f>
        <v>117.40166666666666</v>
      </c>
      <c r="F19" s="144">
        <f t="shared" si="0"/>
        <v>1.7957521306689848E-2</v>
      </c>
      <c r="G19" s="6"/>
    </row>
    <row r="20" spans="1:7" s="4" customFormat="1" ht="15.75" customHeight="1" x14ac:dyDescent="0.2">
      <c r="A20" s="65" t="str">
        <f>A192</f>
        <v>3.1.3. Impostos e Seguros</v>
      </c>
      <c r="B20" s="46"/>
      <c r="C20" s="47"/>
      <c r="D20" s="47"/>
      <c r="E20" s="258">
        <f>F198</f>
        <v>100</v>
      </c>
      <c r="F20" s="144">
        <f t="shared" si="0"/>
        <v>1.5295797595170298E-2</v>
      </c>
      <c r="G20" s="6"/>
    </row>
    <row r="21" spans="1:7" s="4" customFormat="1" ht="15.75" customHeight="1" x14ac:dyDescent="0.2">
      <c r="A21" s="65" t="str">
        <f>A200</f>
        <v>3.1.4. Consumos</v>
      </c>
      <c r="B21" s="46"/>
      <c r="C21" s="47"/>
      <c r="D21" s="47"/>
      <c r="E21" s="258">
        <f>F216</f>
        <v>664.16904639999996</v>
      </c>
      <c r="F21" s="144">
        <f t="shared" si="0"/>
        <v>0.10158995302711669</v>
      </c>
      <c r="G21" s="6"/>
    </row>
    <row r="22" spans="1:7" s="4" customFormat="1" ht="15.75" customHeight="1" x14ac:dyDescent="0.2">
      <c r="A22" s="65" t="str">
        <f>A218</f>
        <v>3.1.5. Manutenção</v>
      </c>
      <c r="B22" s="46"/>
      <c r="C22" s="47"/>
      <c r="D22" s="47"/>
      <c r="E22" s="258">
        <f>F221</f>
        <v>595.71199999999999</v>
      </c>
      <c r="F22" s="144">
        <f t="shared" si="0"/>
        <v>9.1118901770140884E-2</v>
      </c>
      <c r="G22" s="6"/>
    </row>
    <row r="23" spans="1:7" s="4" customFormat="1" ht="15.75" customHeight="1" x14ac:dyDescent="0.2">
      <c r="A23" s="65" t="str">
        <f>A223</f>
        <v>3.1.6. Pneus</v>
      </c>
      <c r="B23" s="46"/>
      <c r="C23" s="47"/>
      <c r="D23" s="47"/>
      <c r="E23" s="258">
        <f>F230</f>
        <v>292.12799999999999</v>
      </c>
      <c r="F23" s="144">
        <f t="shared" si="0"/>
        <v>4.4683307598819083E-2</v>
      </c>
      <c r="G23" s="6"/>
    </row>
    <row r="24" spans="1:7" s="11" customFormat="1" ht="15.75" customHeight="1" x14ac:dyDescent="0.2">
      <c r="A24" s="137" t="str">
        <f>A235</f>
        <v>4. Ferramentas e Materiais de Consumo</v>
      </c>
      <c r="B24" s="138"/>
      <c r="C24" s="128"/>
      <c r="D24" s="128"/>
      <c r="E24" s="257">
        <f>+F245</f>
        <v>0</v>
      </c>
      <c r="F24" s="129">
        <f t="shared" si="0"/>
        <v>0</v>
      </c>
      <c r="G24" s="44"/>
    </row>
    <row r="25" spans="1:7" s="11" customFormat="1" ht="15.75" customHeight="1" x14ac:dyDescent="0.2">
      <c r="A25" s="137" t="str">
        <f>A247</f>
        <v>5. Monitoramento da Frota</v>
      </c>
      <c r="B25" s="138"/>
      <c r="C25" s="128"/>
      <c r="D25" s="128"/>
      <c r="E25" s="257">
        <f>+F256</f>
        <v>20.291666666666668</v>
      </c>
      <c r="F25" s="129">
        <f t="shared" si="0"/>
        <v>3.1037722620199733E-3</v>
      </c>
      <c r="G25" s="44"/>
    </row>
    <row r="26" spans="1:7" s="11" customFormat="1" ht="15.75" customHeight="1" thickBot="1" x14ac:dyDescent="0.25">
      <c r="A26" s="137" t="str">
        <f>A260</f>
        <v>6. Benefícios e Despesas Indiretas - BDI</v>
      </c>
      <c r="B26" s="138"/>
      <c r="C26" s="128"/>
      <c r="D26" s="128"/>
      <c r="E26" s="259">
        <f>+F266</f>
        <v>1424.9386796507729</v>
      </c>
      <c r="F26" s="129">
        <f t="shared" si="0"/>
        <v>0.21795573629467432</v>
      </c>
      <c r="G26" s="44"/>
    </row>
    <row r="27" spans="1:7" s="4" customFormat="1" ht="15.75" customHeight="1" thickBot="1" x14ac:dyDescent="0.25">
      <c r="A27" s="42" t="s">
        <v>246</v>
      </c>
      <c r="B27" s="43"/>
      <c r="C27" s="26"/>
      <c r="D27" s="26"/>
      <c r="E27" s="115">
        <f>E7+E15+E16+E24+E25+E26</f>
        <v>6537.7434146732794</v>
      </c>
      <c r="F27" s="143">
        <f>F7+F15+F16+F24+F25+F26</f>
        <v>1</v>
      </c>
      <c r="G27" s="6"/>
    </row>
    <row r="29" spans="1:7" ht="13.5" thickBot="1" x14ac:dyDescent="0.25"/>
    <row r="30" spans="1:7" s="4" customFormat="1" ht="15" customHeight="1" thickBot="1" x14ac:dyDescent="0.25">
      <c r="A30" s="329" t="s">
        <v>100</v>
      </c>
      <c r="B30" s="330"/>
      <c r="C30" s="330"/>
      <c r="D30" s="330"/>
      <c r="E30" s="331"/>
      <c r="F30" s="10"/>
      <c r="G30" s="6"/>
    </row>
    <row r="31" spans="1:7" s="4" customFormat="1" ht="15" customHeight="1" thickBot="1" x14ac:dyDescent="0.25">
      <c r="A31" s="326" t="s">
        <v>39</v>
      </c>
      <c r="B31" s="327"/>
      <c r="C31" s="327"/>
      <c r="D31" s="328"/>
      <c r="E31" s="48" t="s">
        <v>40</v>
      </c>
      <c r="F31" s="10"/>
      <c r="G31" s="6"/>
    </row>
    <row r="32" spans="1:7" s="4" customFormat="1" ht="15" customHeight="1" x14ac:dyDescent="0.2">
      <c r="A32" s="73" t="str">
        <f>+A46</f>
        <v>1.1. Coletor Turno Dia</v>
      </c>
      <c r="B32" s="74"/>
      <c r="C32" s="74"/>
      <c r="D32" s="75"/>
      <c r="E32" s="76">
        <f>C56</f>
        <v>1</v>
      </c>
      <c r="F32" s="10"/>
      <c r="G32" s="6"/>
    </row>
    <row r="33" spans="1:7" s="4" customFormat="1" ht="15" customHeight="1" x14ac:dyDescent="0.2">
      <c r="A33" s="67" t="str">
        <f>+A59</f>
        <v>1.2. Coletor Turno Noite</v>
      </c>
      <c r="B33" s="66"/>
      <c r="C33" s="66"/>
      <c r="D33" s="77"/>
      <c r="E33" s="70">
        <f>C68</f>
        <v>0</v>
      </c>
      <c r="F33" s="10"/>
      <c r="G33" s="6"/>
    </row>
    <row r="34" spans="1:7" s="4" customFormat="1" ht="15" customHeight="1" x14ac:dyDescent="0.2">
      <c r="A34" s="67" t="str">
        <f>+A71</f>
        <v>1.3. Motorista Turno do Dia</v>
      </c>
      <c r="B34" s="66"/>
      <c r="C34" s="66"/>
      <c r="D34" s="77"/>
      <c r="E34" s="70">
        <f>C83</f>
        <v>1</v>
      </c>
      <c r="F34" s="10"/>
      <c r="G34" s="6"/>
    </row>
    <row r="35" spans="1:7" s="4" customFormat="1" ht="15" customHeight="1" x14ac:dyDescent="0.2">
      <c r="A35" s="67" t="str">
        <f>+A86</f>
        <v>1.4. Motorista Turno Noite</v>
      </c>
      <c r="B35" s="66"/>
      <c r="C35" s="66"/>
      <c r="D35" s="77"/>
      <c r="E35" s="70">
        <f>C97</f>
        <v>0</v>
      </c>
      <c r="F35" s="10"/>
      <c r="G35" s="6"/>
    </row>
    <row r="36" spans="1:7" s="4" customFormat="1" ht="15" customHeight="1" thickBot="1" x14ac:dyDescent="0.25">
      <c r="A36" s="71" t="s">
        <v>59</v>
      </c>
      <c r="B36" s="72"/>
      <c r="C36" s="72"/>
      <c r="D36" s="78"/>
      <c r="E36" s="79">
        <f>SUM(E32:E35)</f>
        <v>2</v>
      </c>
      <c r="F36" s="10"/>
      <c r="G36" s="6"/>
    </row>
    <row r="37" spans="1:7" s="4" customFormat="1" ht="15" customHeight="1" thickBot="1" x14ac:dyDescent="0.25">
      <c r="A37" s="130"/>
      <c r="B37" s="131"/>
      <c r="C37" s="59"/>
      <c r="D37" s="59"/>
      <c r="E37" s="132"/>
      <c r="F37" s="10"/>
      <c r="G37" s="6"/>
    </row>
    <row r="38" spans="1:7" s="4" customFormat="1" ht="15" customHeight="1" x14ac:dyDescent="0.2">
      <c r="A38" s="316" t="s">
        <v>56</v>
      </c>
      <c r="B38" s="317"/>
      <c r="C38" s="317"/>
      <c r="D38" s="317"/>
      <c r="E38" s="48" t="s">
        <v>40</v>
      </c>
      <c r="F38" s="9"/>
      <c r="G38" s="6"/>
    </row>
    <row r="39" spans="1:7" s="4" customFormat="1" ht="15" customHeight="1" thickBot="1" x14ac:dyDescent="0.25">
      <c r="A39" s="133" t="str">
        <f>+A158</f>
        <v>3.1. Veículo Coletor xx m³</v>
      </c>
      <c r="B39" s="134"/>
      <c r="C39" s="134"/>
      <c r="D39" s="135"/>
      <c r="E39" s="136">
        <f>C173</f>
        <v>1</v>
      </c>
      <c r="F39" s="9"/>
      <c r="G39" s="6"/>
    </row>
    <row r="40" spans="1:7" s="4" customFormat="1" ht="15" customHeight="1" x14ac:dyDescent="0.2">
      <c r="A40" s="59"/>
      <c r="B40" s="59"/>
      <c r="C40" s="59"/>
      <c r="D40" s="54"/>
      <c r="E40" s="251"/>
      <c r="F40" s="9"/>
      <c r="G40" s="6"/>
    </row>
    <row r="41" spans="1:7" s="4" customFormat="1" ht="13.5" thickBot="1" x14ac:dyDescent="0.25">
      <c r="A41" s="59"/>
      <c r="B41" s="59"/>
      <c r="C41" s="59"/>
      <c r="D41" s="54"/>
      <c r="E41" s="68"/>
      <c r="F41" s="9"/>
      <c r="G41" s="6"/>
    </row>
    <row r="42" spans="1:7" s="11" customFormat="1" ht="15.75" customHeight="1" thickBot="1" x14ac:dyDescent="0.25">
      <c r="A42" s="261" t="s">
        <v>203</v>
      </c>
      <c r="B42" s="262">
        <v>0.25</v>
      </c>
      <c r="C42" s="35"/>
      <c r="D42" s="34"/>
      <c r="E42" s="156"/>
      <c r="G42" s="44"/>
    </row>
    <row r="43" spans="1:7" s="4" customFormat="1" ht="15.75" customHeight="1" x14ac:dyDescent="0.2">
      <c r="A43" s="59"/>
      <c r="B43" s="59"/>
      <c r="C43" s="59"/>
      <c r="D43" s="54"/>
      <c r="E43" s="68"/>
      <c r="F43" s="9"/>
      <c r="G43" s="6"/>
    </row>
    <row r="44" spans="1:7" ht="13.15" customHeight="1" x14ac:dyDescent="0.2">
      <c r="A44" s="11" t="s">
        <v>47</v>
      </c>
    </row>
    <row r="45" spans="1:7" ht="11.25" customHeight="1" x14ac:dyDescent="0.2"/>
    <row r="46" spans="1:7" ht="13.9" customHeight="1" thickBot="1" x14ac:dyDescent="0.25">
      <c r="A46" s="9" t="s">
        <v>102</v>
      </c>
    </row>
    <row r="47" spans="1:7" ht="13.9" customHeight="1" thickBot="1" x14ac:dyDescent="0.25">
      <c r="A47" s="60" t="s">
        <v>64</v>
      </c>
      <c r="B47" s="61" t="s">
        <v>65</v>
      </c>
      <c r="C47" s="61" t="s">
        <v>40</v>
      </c>
      <c r="D47" s="62" t="s">
        <v>242</v>
      </c>
      <c r="E47" s="62" t="s">
        <v>66</v>
      </c>
      <c r="F47" s="63" t="s">
        <v>67</v>
      </c>
    </row>
    <row r="48" spans="1:7" ht="13.15" customHeight="1" x14ac:dyDescent="0.2">
      <c r="A48" s="13" t="s">
        <v>220</v>
      </c>
      <c r="B48" s="14" t="s">
        <v>8</v>
      </c>
      <c r="C48" s="14">
        <v>1</v>
      </c>
      <c r="D48" s="87">
        <v>1397.27</v>
      </c>
      <c r="E48" s="15">
        <f>C48*D48</f>
        <v>1397.27</v>
      </c>
    </row>
    <row r="49" spans="1:7" x14ac:dyDescent="0.2">
      <c r="A49" s="16" t="s">
        <v>34</v>
      </c>
      <c r="B49" s="17" t="s">
        <v>0</v>
      </c>
      <c r="C49" s="88"/>
      <c r="D49" s="18">
        <f>D48/220*2</f>
        <v>12.702454545454545</v>
      </c>
      <c r="E49" s="18">
        <f>C49*D49</f>
        <v>0</v>
      </c>
      <c r="G49" s="10" t="s">
        <v>257</v>
      </c>
    </row>
    <row r="50" spans="1:7" ht="13.15" customHeight="1" x14ac:dyDescent="0.2">
      <c r="A50" s="16" t="s">
        <v>35</v>
      </c>
      <c r="B50" s="17" t="s">
        <v>0</v>
      </c>
      <c r="C50" s="88"/>
      <c r="D50" s="18">
        <f>D48/220*1.5</f>
        <v>9.5268409090909092</v>
      </c>
      <c r="E50" s="18">
        <f>C50*D50</f>
        <v>0</v>
      </c>
      <c r="G50" s="10" t="s">
        <v>258</v>
      </c>
    </row>
    <row r="51" spans="1:7" ht="13.15" customHeight="1" x14ac:dyDescent="0.2">
      <c r="A51" s="16" t="s">
        <v>223</v>
      </c>
      <c r="B51" s="17" t="s">
        <v>33</v>
      </c>
      <c r="D51" s="18">
        <f>63/302*(SUM(E49:E50))</f>
        <v>0</v>
      </c>
      <c r="E51" s="18">
        <f>D51</f>
        <v>0</v>
      </c>
      <c r="G51" s="10" t="s">
        <v>222</v>
      </c>
    </row>
    <row r="52" spans="1:7" x14ac:dyDescent="0.2">
      <c r="A52" s="16" t="s">
        <v>1</v>
      </c>
      <c r="B52" s="17" t="s">
        <v>2</v>
      </c>
      <c r="C52" s="17">
        <v>40</v>
      </c>
      <c r="D52" s="83">
        <f>SUM(E48:E51)</f>
        <v>1397.27</v>
      </c>
      <c r="E52" s="18">
        <f>C52*D52/100</f>
        <v>558.90800000000002</v>
      </c>
    </row>
    <row r="53" spans="1:7" x14ac:dyDescent="0.2">
      <c r="A53" s="117" t="s">
        <v>3</v>
      </c>
      <c r="B53" s="118"/>
      <c r="C53" s="118"/>
      <c r="D53" s="119"/>
      <c r="E53" s="120">
        <f>SUM(E48:E52)</f>
        <v>1956.1779999999999</v>
      </c>
    </row>
    <row r="54" spans="1:7" x14ac:dyDescent="0.2">
      <c r="A54" s="16" t="s">
        <v>4</v>
      </c>
      <c r="B54" s="17" t="s">
        <v>2</v>
      </c>
      <c r="C54" s="141">
        <f>'2.Encargos Sociais'!$C$37*100</f>
        <v>70.595951999999997</v>
      </c>
      <c r="D54" s="18">
        <f>E53</f>
        <v>1956.1779999999999</v>
      </c>
      <c r="E54" s="18">
        <f>D54*C54/100</f>
        <v>1380.9824819145599</v>
      </c>
    </row>
    <row r="55" spans="1:7" x14ac:dyDescent="0.2">
      <c r="A55" s="117" t="s">
        <v>73</v>
      </c>
      <c r="B55" s="118"/>
      <c r="C55" s="118"/>
      <c r="D55" s="119"/>
      <c r="E55" s="120">
        <f>E53+E54</f>
        <v>3337.1604819145596</v>
      </c>
    </row>
    <row r="56" spans="1:7" ht="13.5" thickBot="1" x14ac:dyDescent="0.25">
      <c r="A56" s="16" t="s">
        <v>5</v>
      </c>
      <c r="B56" s="17" t="s">
        <v>6</v>
      </c>
      <c r="C56" s="86">
        <v>1</v>
      </c>
      <c r="D56" s="18">
        <f>E55</f>
        <v>3337.1604819145596</v>
      </c>
      <c r="E56" s="18">
        <f>C56*D56</f>
        <v>3337.1604819145596</v>
      </c>
      <c r="G56" s="6"/>
    </row>
    <row r="57" spans="1:7" ht="13.9" customHeight="1" thickBot="1" x14ac:dyDescent="0.25">
      <c r="D57" s="124" t="s">
        <v>202</v>
      </c>
      <c r="E57" s="50">
        <f>$B$42</f>
        <v>0.25</v>
      </c>
      <c r="F57" s="125">
        <f>E56*E57</f>
        <v>834.29012047863989</v>
      </c>
      <c r="G57" s="6"/>
    </row>
    <row r="58" spans="1:7" ht="11.25" customHeight="1" x14ac:dyDescent="0.2"/>
    <row r="59" spans="1:7" ht="13.5" thickBot="1" x14ac:dyDescent="0.25">
      <c r="A59" s="9" t="s">
        <v>92</v>
      </c>
    </row>
    <row r="60" spans="1:7" ht="13.5" thickBot="1" x14ac:dyDescent="0.25">
      <c r="A60" s="60" t="s">
        <v>64</v>
      </c>
      <c r="B60" s="61" t="s">
        <v>65</v>
      </c>
      <c r="C60" s="61" t="s">
        <v>40</v>
      </c>
      <c r="D60" s="62" t="s">
        <v>242</v>
      </c>
      <c r="E60" s="62" t="s">
        <v>66</v>
      </c>
      <c r="F60" s="63" t="s">
        <v>67</v>
      </c>
    </row>
    <row r="61" spans="1:7" x14ac:dyDescent="0.2">
      <c r="A61" s="13" t="s">
        <v>220</v>
      </c>
      <c r="B61" s="14" t="s">
        <v>8</v>
      </c>
      <c r="C61" s="14">
        <v>1</v>
      </c>
      <c r="D61" s="15">
        <f>D48</f>
        <v>1397.27</v>
      </c>
      <c r="E61" s="15">
        <f>C61*D61</f>
        <v>1397.27</v>
      </c>
    </row>
    <row r="62" spans="1:7" x14ac:dyDescent="0.2">
      <c r="A62" s="16" t="s">
        <v>7</v>
      </c>
      <c r="B62" s="17" t="s">
        <v>101</v>
      </c>
      <c r="C62" s="88"/>
      <c r="D62" s="18"/>
      <c r="E62" s="18"/>
    </row>
    <row r="63" spans="1:7" x14ac:dyDescent="0.2">
      <c r="A63" s="16"/>
      <c r="B63" s="17" t="s">
        <v>105</v>
      </c>
      <c r="C63" s="121">
        <f>C62*8/7</f>
        <v>0</v>
      </c>
      <c r="D63" s="18">
        <f>D61/220*0.2</f>
        <v>1.2702454545454547</v>
      </c>
      <c r="E63" s="18">
        <f>C63*D63</f>
        <v>0</v>
      </c>
    </row>
    <row r="64" spans="1:7" x14ac:dyDescent="0.2">
      <c r="A64" s="16" t="s">
        <v>1</v>
      </c>
      <c r="B64" s="17" t="s">
        <v>2</v>
      </c>
      <c r="C64" s="17">
        <f>+C52</f>
        <v>40</v>
      </c>
      <c r="D64" s="83">
        <f>SUM(E61:E63)</f>
        <v>1397.27</v>
      </c>
      <c r="E64" s="18">
        <f>C64*D64/100</f>
        <v>558.90800000000002</v>
      </c>
    </row>
    <row r="65" spans="1:7" x14ac:dyDescent="0.2">
      <c r="A65" s="117" t="s">
        <v>3</v>
      </c>
      <c r="B65" s="118"/>
      <c r="C65" s="118"/>
      <c r="D65" s="119"/>
      <c r="E65" s="120">
        <f>SUM(E61:E64)</f>
        <v>1956.1779999999999</v>
      </c>
    </row>
    <row r="66" spans="1:7" x14ac:dyDescent="0.2">
      <c r="A66" s="16" t="s">
        <v>4</v>
      </c>
      <c r="B66" s="17" t="s">
        <v>2</v>
      </c>
      <c r="C66" s="141">
        <f>'2.Encargos Sociais'!$C$37*100</f>
        <v>70.595951999999997</v>
      </c>
      <c r="D66" s="18">
        <f>E65</f>
        <v>1956.1779999999999</v>
      </c>
      <c r="E66" s="18">
        <f>D66*C66/100</f>
        <v>1380.9824819145599</v>
      </c>
    </row>
    <row r="67" spans="1:7" x14ac:dyDescent="0.2">
      <c r="A67" s="117" t="s">
        <v>73</v>
      </c>
      <c r="B67" s="118"/>
      <c r="C67" s="118"/>
      <c r="D67" s="119"/>
      <c r="E67" s="120">
        <f>E65+E66</f>
        <v>3337.1604819145596</v>
      </c>
    </row>
    <row r="68" spans="1:7" ht="13.5" thickBot="1" x14ac:dyDescent="0.25">
      <c r="A68" s="16" t="s">
        <v>5</v>
      </c>
      <c r="B68" s="17" t="s">
        <v>6</v>
      </c>
      <c r="C68" s="86"/>
      <c r="D68" s="18">
        <f>E67</f>
        <v>3337.1604819145596</v>
      </c>
      <c r="E68" s="18">
        <f>C68*D68</f>
        <v>0</v>
      </c>
    </row>
    <row r="69" spans="1:7" ht="13.5" thickBot="1" x14ac:dyDescent="0.25">
      <c r="D69" s="124" t="s">
        <v>202</v>
      </c>
      <c r="E69" s="50">
        <f>$B$42</f>
        <v>0.25</v>
      </c>
      <c r="F69" s="125">
        <f>E68*E69</f>
        <v>0</v>
      </c>
    </row>
    <row r="70" spans="1:7" ht="11.25" customHeight="1" x14ac:dyDescent="0.2"/>
    <row r="71" spans="1:7" ht="13.5" thickBot="1" x14ac:dyDescent="0.25">
      <c r="A71" s="9" t="s">
        <v>103</v>
      </c>
    </row>
    <row r="72" spans="1:7" s="12" customFormat="1" ht="13.15" customHeight="1" thickBot="1" x14ac:dyDescent="0.25">
      <c r="A72" s="60" t="s">
        <v>64</v>
      </c>
      <c r="B72" s="61" t="s">
        <v>65</v>
      </c>
      <c r="C72" s="61" t="s">
        <v>40</v>
      </c>
      <c r="D72" s="62" t="s">
        <v>242</v>
      </c>
      <c r="E72" s="62" t="s">
        <v>66</v>
      </c>
      <c r="F72" s="63" t="s">
        <v>67</v>
      </c>
      <c r="G72" s="10"/>
    </row>
    <row r="73" spans="1:7" x14ac:dyDescent="0.2">
      <c r="A73" s="306" t="s">
        <v>294</v>
      </c>
      <c r="B73" s="14" t="s">
        <v>8</v>
      </c>
      <c r="C73" s="14">
        <v>1</v>
      </c>
      <c r="D73" s="87">
        <v>1930.19</v>
      </c>
      <c r="E73" s="15">
        <f>C73*D73</f>
        <v>1930.19</v>
      </c>
    </row>
    <row r="74" spans="1:7" x14ac:dyDescent="0.2">
      <c r="A74" s="306" t="s">
        <v>295</v>
      </c>
      <c r="B74" s="14" t="s">
        <v>8</v>
      </c>
      <c r="C74" s="14">
        <v>1</v>
      </c>
      <c r="D74" s="87">
        <v>1100</v>
      </c>
      <c r="E74" s="15"/>
    </row>
    <row r="75" spans="1:7" x14ac:dyDescent="0.2">
      <c r="A75" s="16" t="s">
        <v>34</v>
      </c>
      <c r="B75" s="17" t="s">
        <v>0</v>
      </c>
      <c r="C75" s="88"/>
      <c r="D75" s="18">
        <f>D73/220*2</f>
        <v>17.547181818181819</v>
      </c>
      <c r="E75" s="18">
        <f>C75*D75</f>
        <v>0</v>
      </c>
      <c r="G75" s="10" t="s">
        <v>257</v>
      </c>
    </row>
    <row r="76" spans="1:7" x14ac:dyDescent="0.2">
      <c r="A76" s="16" t="s">
        <v>35</v>
      </c>
      <c r="B76" s="17" t="s">
        <v>0</v>
      </c>
      <c r="C76" s="88"/>
      <c r="D76" s="18">
        <f>D73/220*1.5</f>
        <v>13.160386363636364</v>
      </c>
      <c r="E76" s="18">
        <f>C76*D76</f>
        <v>0</v>
      </c>
      <c r="G76" s="10" t="s">
        <v>258</v>
      </c>
    </row>
    <row r="77" spans="1:7" ht="13.15" customHeight="1" x14ac:dyDescent="0.2">
      <c r="A77" s="16" t="s">
        <v>223</v>
      </c>
      <c r="B77" s="17" t="s">
        <v>33</v>
      </c>
      <c r="D77" s="18">
        <f>63/302*(SUM(E75:E76))</f>
        <v>0</v>
      </c>
      <c r="E77" s="18">
        <f>D77</f>
        <v>0</v>
      </c>
      <c r="G77" s="10" t="s">
        <v>222</v>
      </c>
    </row>
    <row r="78" spans="1:7" x14ac:dyDescent="0.2">
      <c r="A78" s="16" t="s">
        <v>221</v>
      </c>
      <c r="B78" s="17"/>
      <c r="C78" s="90">
        <v>20</v>
      </c>
      <c r="D78" s="18"/>
      <c r="E78" s="18"/>
    </row>
    <row r="79" spans="1:7" x14ac:dyDescent="0.2">
      <c r="A79" s="16" t="s">
        <v>1</v>
      </c>
      <c r="B79" s="17" t="s">
        <v>2</v>
      </c>
      <c r="C79" s="86"/>
      <c r="D79" s="83">
        <f>IF(C78=2,SUM(E73:E77),IF(C78=1,(SUM(E73:E77))*D74/D73,0))</f>
        <v>0</v>
      </c>
      <c r="E79" s="18">
        <f>C79*D79/100</f>
        <v>0</v>
      </c>
    </row>
    <row r="80" spans="1:7" s="11" customFormat="1" x14ac:dyDescent="0.2">
      <c r="A80" s="103" t="s">
        <v>3</v>
      </c>
      <c r="B80" s="118"/>
      <c r="C80" s="118"/>
      <c r="D80" s="119"/>
      <c r="E80" s="105">
        <f>SUM(E73:E79)</f>
        <v>1930.19</v>
      </c>
      <c r="F80" s="44"/>
      <c r="G80" s="44"/>
    </row>
    <row r="81" spans="1:7" x14ac:dyDescent="0.2">
      <c r="A81" s="16" t="s">
        <v>4</v>
      </c>
      <c r="B81" s="17" t="s">
        <v>2</v>
      </c>
      <c r="C81" s="141">
        <f>'2.Encargos Sociais'!$C$37*100</f>
        <v>70.595951999999997</v>
      </c>
      <c r="D81" s="18">
        <f>E80</f>
        <v>1930.19</v>
      </c>
      <c r="E81" s="18">
        <f>D81*C81/100</f>
        <v>1362.6360059087999</v>
      </c>
    </row>
    <row r="82" spans="1:7" s="11" customFormat="1" x14ac:dyDescent="0.2">
      <c r="A82" s="103" t="s">
        <v>259</v>
      </c>
      <c r="B82" s="268"/>
      <c r="C82" s="268"/>
      <c r="D82" s="269"/>
      <c r="E82" s="105">
        <f>E80+E81</f>
        <v>3292.8260059087997</v>
      </c>
      <c r="F82" s="44"/>
      <c r="G82" s="44"/>
    </row>
    <row r="83" spans="1:7" ht="13.5" thickBot="1" x14ac:dyDescent="0.25">
      <c r="A83" s="16" t="s">
        <v>5</v>
      </c>
      <c r="B83" s="17" t="s">
        <v>6</v>
      </c>
      <c r="C83" s="86">
        <v>1</v>
      </c>
      <c r="D83" s="18">
        <f>E82</f>
        <v>3292.8260059087997</v>
      </c>
      <c r="E83" s="18">
        <f>C83*D83</f>
        <v>3292.8260059087997</v>
      </c>
    </row>
    <row r="84" spans="1:7" ht="13.5" thickBot="1" x14ac:dyDescent="0.25">
      <c r="D84" s="124" t="s">
        <v>202</v>
      </c>
      <c r="E84" s="50">
        <f>$B$42</f>
        <v>0.25</v>
      </c>
      <c r="F84" s="125">
        <f>E83*E84</f>
        <v>823.20650147719994</v>
      </c>
    </row>
    <row r="85" spans="1:7" ht="11.25" customHeight="1" x14ac:dyDescent="0.2"/>
    <row r="86" spans="1:7" ht="13.5" thickBot="1" x14ac:dyDescent="0.25">
      <c r="A86" s="9" t="s">
        <v>104</v>
      </c>
    </row>
    <row r="87" spans="1:7" ht="13.5" thickBot="1" x14ac:dyDescent="0.25">
      <c r="A87" s="60" t="s">
        <v>64</v>
      </c>
      <c r="B87" s="61" t="s">
        <v>65</v>
      </c>
      <c r="C87" s="61" t="s">
        <v>40</v>
      </c>
      <c r="D87" s="62" t="s">
        <v>242</v>
      </c>
      <c r="E87" s="62" t="s">
        <v>66</v>
      </c>
      <c r="F87" s="63" t="s">
        <v>67</v>
      </c>
    </row>
    <row r="88" spans="1:7" x14ac:dyDescent="0.2">
      <c r="A88" s="306" t="s">
        <v>294</v>
      </c>
      <c r="B88" s="14" t="s">
        <v>8</v>
      </c>
      <c r="C88" s="14">
        <v>1</v>
      </c>
      <c r="D88" s="15">
        <f>D73</f>
        <v>1930.19</v>
      </c>
      <c r="E88" s="15">
        <f>C88*D88</f>
        <v>1930.19</v>
      </c>
    </row>
    <row r="89" spans="1:7" x14ac:dyDescent="0.2">
      <c r="A89" s="306" t="s">
        <v>295</v>
      </c>
      <c r="B89" s="14" t="s">
        <v>8</v>
      </c>
      <c r="C89" s="14">
        <v>1</v>
      </c>
      <c r="D89" s="18">
        <f>D74</f>
        <v>1100</v>
      </c>
      <c r="E89" s="18"/>
    </row>
    <row r="90" spans="1:7" x14ac:dyDescent="0.2">
      <c r="A90" s="16" t="s">
        <v>7</v>
      </c>
      <c r="B90" s="17" t="s">
        <v>101</v>
      </c>
      <c r="C90" s="88"/>
      <c r="D90" s="16"/>
      <c r="E90" s="16"/>
    </row>
    <row r="91" spans="1:7" x14ac:dyDescent="0.2">
      <c r="A91" s="16"/>
      <c r="B91" s="17" t="s">
        <v>105</v>
      </c>
      <c r="C91" s="18">
        <f>C90*8/7</f>
        <v>0</v>
      </c>
      <c r="D91" s="18">
        <f>D88/220*0.2</f>
        <v>1.7547181818181821</v>
      </c>
      <c r="E91" s="18">
        <f>C91*D91</f>
        <v>0</v>
      </c>
    </row>
    <row r="92" spans="1:7" x14ac:dyDescent="0.2">
      <c r="A92" s="16" t="s">
        <v>221</v>
      </c>
      <c r="B92" s="17"/>
      <c r="C92" s="90"/>
      <c r="D92" s="18"/>
      <c r="E92" s="18"/>
    </row>
    <row r="93" spans="1:7" x14ac:dyDescent="0.2">
      <c r="A93" s="16" t="s">
        <v>1</v>
      </c>
      <c r="B93" s="17" t="s">
        <v>2</v>
      </c>
      <c r="C93" s="83">
        <f>+C79</f>
        <v>0</v>
      </c>
      <c r="D93" s="83">
        <f>IF(C92=2,SUM(E88:E91),IF(C92=1,SUM(E88:E91)*D89/D88,0))</f>
        <v>0</v>
      </c>
      <c r="E93" s="18">
        <f>C93*D93/100</f>
        <v>0</v>
      </c>
    </row>
    <row r="94" spans="1:7" s="11" customFormat="1" x14ac:dyDescent="0.2">
      <c r="A94" s="117" t="s">
        <v>3</v>
      </c>
      <c r="B94" s="118"/>
      <c r="C94" s="118"/>
      <c r="D94" s="119"/>
      <c r="E94" s="120">
        <f>SUM(E88:E93)</f>
        <v>1930.19</v>
      </c>
      <c r="F94" s="44"/>
      <c r="G94" s="44"/>
    </row>
    <row r="95" spans="1:7" x14ac:dyDescent="0.2">
      <c r="A95" s="16" t="s">
        <v>4</v>
      </c>
      <c r="B95" s="17" t="s">
        <v>2</v>
      </c>
      <c r="C95" s="141">
        <f>'2.Encargos Sociais'!$C$37*100</f>
        <v>70.595951999999997</v>
      </c>
      <c r="D95" s="18">
        <f>E94</f>
        <v>1930.19</v>
      </c>
      <c r="E95" s="18">
        <f>D95*C95/100</f>
        <v>1362.6360059087999</v>
      </c>
    </row>
    <row r="96" spans="1:7" s="11" customFormat="1" x14ac:dyDescent="0.2">
      <c r="A96" s="117" t="s">
        <v>259</v>
      </c>
      <c r="B96" s="118"/>
      <c r="C96" s="118"/>
      <c r="D96" s="119"/>
      <c r="E96" s="120">
        <f>E94+E95</f>
        <v>3292.8260059087997</v>
      </c>
      <c r="F96" s="44"/>
      <c r="G96" s="44"/>
    </row>
    <row r="97" spans="1:7" ht="13.5" thickBot="1" x14ac:dyDescent="0.25">
      <c r="A97" s="16" t="s">
        <v>5</v>
      </c>
      <c r="B97" s="17" t="s">
        <v>6</v>
      </c>
      <c r="C97" s="86"/>
      <c r="D97" s="18">
        <f>E96</f>
        <v>3292.8260059087997</v>
      </c>
      <c r="E97" s="18">
        <f>C97*D97</f>
        <v>0</v>
      </c>
    </row>
    <row r="98" spans="1:7" ht="13.5" thickBot="1" x14ac:dyDescent="0.25">
      <c r="D98" s="124" t="s">
        <v>202</v>
      </c>
      <c r="E98" s="50">
        <f>$B$42</f>
        <v>0.25</v>
      </c>
      <c r="F98" s="125">
        <f>E97*E98</f>
        <v>0</v>
      </c>
    </row>
    <row r="99" spans="1:7" ht="11.25" customHeight="1" x14ac:dyDescent="0.2">
      <c r="G99" s="9"/>
    </row>
    <row r="100" spans="1:7" ht="13.5" thickBot="1" x14ac:dyDescent="0.25">
      <c r="A100" s="9" t="s">
        <v>106</v>
      </c>
      <c r="B100" s="93"/>
      <c r="D100" s="9"/>
      <c r="E100" s="9"/>
      <c r="G100" s="9"/>
    </row>
    <row r="101" spans="1:7" ht="13.5" thickBot="1" x14ac:dyDescent="0.25">
      <c r="A101" s="60" t="s">
        <v>64</v>
      </c>
      <c r="B101" s="61" t="s">
        <v>65</v>
      </c>
      <c r="C101" s="61" t="s">
        <v>40</v>
      </c>
      <c r="D101" s="62" t="s">
        <v>242</v>
      </c>
      <c r="E101" s="62" t="s">
        <v>66</v>
      </c>
      <c r="F101" s="63" t="s">
        <v>67</v>
      </c>
      <c r="G101" s="9"/>
    </row>
    <row r="102" spans="1:7" x14ac:dyDescent="0.2">
      <c r="A102" s="16" t="s">
        <v>93</v>
      </c>
      <c r="B102" s="17" t="s">
        <v>33</v>
      </c>
      <c r="C102" s="94">
        <v>1</v>
      </c>
      <c r="D102" s="92">
        <v>2.1</v>
      </c>
      <c r="E102" s="18"/>
      <c r="G102" s="9"/>
    </row>
    <row r="103" spans="1:7" x14ac:dyDescent="0.2">
      <c r="A103" s="16" t="s">
        <v>94</v>
      </c>
      <c r="B103" s="17" t="s">
        <v>95</v>
      </c>
      <c r="C103" s="91">
        <v>26</v>
      </c>
      <c r="D103" s="18"/>
      <c r="E103" s="18"/>
      <c r="G103" s="9"/>
    </row>
    <row r="104" spans="1:7" x14ac:dyDescent="0.2">
      <c r="A104" s="16" t="s">
        <v>74</v>
      </c>
      <c r="B104" s="17" t="s">
        <v>9</v>
      </c>
      <c r="C104" s="37">
        <f>$C$103*2*(C56+C68)</f>
        <v>52</v>
      </c>
      <c r="D104" s="15">
        <f>IFERROR((($C$103*2*$D$102)-(E48*0.06*C103/26))/($C$103*2),"-")</f>
        <v>0.48776538461538482</v>
      </c>
      <c r="E104" s="18">
        <f>IFERROR(C104*D104,"-")</f>
        <v>25.363800000000012</v>
      </c>
      <c r="G104" s="9"/>
    </row>
    <row r="105" spans="1:7" ht="13.5" thickBot="1" x14ac:dyDescent="0.25">
      <c r="A105" s="13" t="s">
        <v>44</v>
      </c>
      <c r="B105" s="14" t="s">
        <v>9</v>
      </c>
      <c r="C105" s="37">
        <f>$C$103*2*(C83+C97)</f>
        <v>52</v>
      </c>
      <c r="D105" s="15">
        <f>IFERROR((($C$103*2*$D$102)-(E73*0.06*C103/26))/($C$103*2),"-")</f>
        <v>-0.12714230769230747</v>
      </c>
      <c r="E105" s="15">
        <f>IFERROR(C105*D105,"-")</f>
        <v>-6.6113999999999882</v>
      </c>
      <c r="G105" s="9"/>
    </row>
    <row r="106" spans="1:7" ht="13.5" thickBot="1" x14ac:dyDescent="0.25">
      <c r="F106" s="22">
        <f>SUM(E104:E105)</f>
        <v>18.752400000000023</v>
      </c>
      <c r="G106" s="9"/>
    </row>
    <row r="107" spans="1:7" ht="11.25" customHeight="1" x14ac:dyDescent="0.2">
      <c r="G107" s="9"/>
    </row>
    <row r="108" spans="1:7" ht="13.5" thickBot="1" x14ac:dyDescent="0.25">
      <c r="A108" s="9" t="s">
        <v>129</v>
      </c>
      <c r="F108" s="23"/>
      <c r="G108" s="9"/>
    </row>
    <row r="109" spans="1:7" ht="13.5" thickBot="1" x14ac:dyDescent="0.25">
      <c r="A109" s="60" t="s">
        <v>64</v>
      </c>
      <c r="B109" s="61" t="s">
        <v>65</v>
      </c>
      <c r="C109" s="61" t="s">
        <v>40</v>
      </c>
      <c r="D109" s="62" t="s">
        <v>242</v>
      </c>
      <c r="E109" s="62" t="s">
        <v>66</v>
      </c>
      <c r="F109" s="63" t="s">
        <v>67</v>
      </c>
      <c r="G109" s="9"/>
    </row>
    <row r="110" spans="1:7" x14ac:dyDescent="0.2">
      <c r="A110" s="16" t="str">
        <f>+A104</f>
        <v>Coletor</v>
      </c>
      <c r="B110" s="17" t="s">
        <v>10</v>
      </c>
      <c r="C110" s="102">
        <f>C103*(E32+E33)</f>
        <v>26</v>
      </c>
      <c r="D110" s="95">
        <f>18.2+9.1</f>
        <v>27.299999999999997</v>
      </c>
      <c r="E110" s="50">
        <f>C110*D110</f>
        <v>709.8</v>
      </c>
      <c r="F110" s="23"/>
      <c r="G110" s="9"/>
    </row>
    <row r="111" spans="1:7" ht="13.5" thickBot="1" x14ac:dyDescent="0.25">
      <c r="A111" s="16" t="str">
        <f>+A105</f>
        <v>Motorista</v>
      </c>
      <c r="B111" s="17" t="s">
        <v>10</v>
      </c>
      <c r="C111" s="102">
        <f>C103*(E34+E35)</f>
        <v>26</v>
      </c>
      <c r="D111" s="95">
        <v>12.76</v>
      </c>
      <c r="E111" s="50">
        <f>C111*D111</f>
        <v>331.76</v>
      </c>
      <c r="F111" s="23"/>
      <c r="G111" s="9"/>
    </row>
    <row r="112" spans="1:7" ht="13.5" thickBot="1" x14ac:dyDescent="0.25">
      <c r="F112" s="22">
        <f>SUM(E110:E111)</f>
        <v>1041.56</v>
      </c>
      <c r="G112" s="9"/>
    </row>
    <row r="113" spans="1:7" x14ac:dyDescent="0.2">
      <c r="G113" s="9"/>
    </row>
    <row r="114" spans="1:7" ht="13.5" thickBot="1" x14ac:dyDescent="0.25">
      <c r="A114" s="9" t="s">
        <v>130</v>
      </c>
      <c r="F114" s="23"/>
      <c r="G114" s="9"/>
    </row>
    <row r="115" spans="1:7" ht="13.5" thickBot="1" x14ac:dyDescent="0.25">
      <c r="A115" s="60" t="s">
        <v>64</v>
      </c>
      <c r="B115" s="61" t="s">
        <v>65</v>
      </c>
      <c r="C115" s="61" t="s">
        <v>40</v>
      </c>
      <c r="D115" s="62" t="s">
        <v>242</v>
      </c>
      <c r="E115" s="62" t="s">
        <v>66</v>
      </c>
      <c r="F115" s="63" t="s">
        <v>67</v>
      </c>
      <c r="G115" s="9"/>
    </row>
    <row r="116" spans="1:7" x14ac:dyDescent="0.2">
      <c r="A116" s="16" t="str">
        <f>+A110</f>
        <v>Coletor</v>
      </c>
      <c r="B116" s="17" t="s">
        <v>10</v>
      </c>
      <c r="C116" s="102">
        <f>E32+E33</f>
        <v>1</v>
      </c>
      <c r="D116" s="95">
        <v>1</v>
      </c>
      <c r="E116" s="50">
        <f>C116*D116</f>
        <v>1</v>
      </c>
      <c r="F116" s="23"/>
      <c r="G116" s="9"/>
    </row>
    <row r="117" spans="1:7" ht="13.5" thickBot="1" x14ac:dyDescent="0.25">
      <c r="A117" s="16" t="str">
        <f>+A111</f>
        <v>Motorista</v>
      </c>
      <c r="B117" s="17" t="s">
        <v>10</v>
      </c>
      <c r="C117" s="102">
        <f>E34+E35</f>
        <v>1</v>
      </c>
      <c r="D117" s="95">
        <v>96.84</v>
      </c>
      <c r="E117" s="50">
        <f>C117*D117</f>
        <v>96.84</v>
      </c>
      <c r="F117" s="23"/>
      <c r="G117" s="9"/>
    </row>
    <row r="118" spans="1:7" ht="13.5" thickBot="1" x14ac:dyDescent="0.25">
      <c r="D118" s="124" t="s">
        <v>202</v>
      </c>
      <c r="E118" s="50">
        <f>$B$42</f>
        <v>0.25</v>
      </c>
      <c r="F118" s="22">
        <f>SUM(E116:E117)*E118</f>
        <v>24.46</v>
      </c>
      <c r="G118" s="9"/>
    </row>
    <row r="119" spans="1:7" ht="13.5" thickBot="1" x14ac:dyDescent="0.25">
      <c r="G119" s="9"/>
    </row>
    <row r="120" spans="1:7" ht="13.5" thickBot="1" x14ac:dyDescent="0.25">
      <c r="A120" s="24" t="s">
        <v>96</v>
      </c>
      <c r="B120" s="25"/>
      <c r="C120" s="25"/>
      <c r="D120" s="26"/>
      <c r="E120" s="27"/>
      <c r="F120" s="22">
        <f>F118+F112+F106+F98+F84+F69+F57</f>
        <v>2742.2690219558399</v>
      </c>
      <c r="G120" s="9"/>
    </row>
    <row r="122" spans="1:7" x14ac:dyDescent="0.2">
      <c r="A122" s="11" t="s">
        <v>45</v>
      </c>
      <c r="G122" s="9"/>
    </row>
    <row r="123" spans="1:7" ht="11.25" customHeight="1" x14ac:dyDescent="0.2">
      <c r="G123" s="9"/>
    </row>
    <row r="124" spans="1:7" ht="13.9" customHeight="1" x14ac:dyDescent="0.2">
      <c r="A124" s="9" t="s">
        <v>204</v>
      </c>
      <c r="G124" s="9"/>
    </row>
    <row r="125" spans="1:7" ht="11.25" customHeight="1" thickBot="1" x14ac:dyDescent="0.25">
      <c r="G125" s="9"/>
    </row>
    <row r="126" spans="1:7" ht="27.75" customHeight="1" thickBot="1" x14ac:dyDescent="0.25">
      <c r="A126" s="60" t="s">
        <v>64</v>
      </c>
      <c r="B126" s="61" t="s">
        <v>65</v>
      </c>
      <c r="C126" s="270" t="s">
        <v>260</v>
      </c>
      <c r="D126" s="62" t="s">
        <v>242</v>
      </c>
      <c r="E126" s="62" t="s">
        <v>66</v>
      </c>
      <c r="F126" s="63" t="s">
        <v>67</v>
      </c>
      <c r="G126" s="9"/>
    </row>
    <row r="127" spans="1:7" x14ac:dyDescent="0.2">
      <c r="A127" s="13" t="s">
        <v>68</v>
      </c>
      <c r="B127" s="14" t="s">
        <v>10</v>
      </c>
      <c r="C127" s="101">
        <v>12</v>
      </c>
      <c r="D127" s="87">
        <v>1</v>
      </c>
      <c r="E127" s="15">
        <f>IFERROR(D127/C127,0)</f>
        <v>8.3333333333333329E-2</v>
      </c>
      <c r="G127" s="9"/>
    </row>
    <row r="128" spans="1:7" ht="13.15" customHeight="1" x14ac:dyDescent="0.2">
      <c r="A128" s="16" t="s">
        <v>29</v>
      </c>
      <c r="B128" s="17" t="s">
        <v>10</v>
      </c>
      <c r="C128" s="101">
        <v>12</v>
      </c>
      <c r="D128" s="87">
        <v>1</v>
      </c>
      <c r="E128" s="15">
        <f t="shared" ref="E128:E136" si="1">IFERROR(D128/C128,0)</f>
        <v>8.3333333333333329E-2</v>
      </c>
      <c r="G128" s="9"/>
    </row>
    <row r="129" spans="1:7" x14ac:dyDescent="0.2">
      <c r="A129" s="16" t="s">
        <v>30</v>
      </c>
      <c r="B129" s="17" t="s">
        <v>10</v>
      </c>
      <c r="C129" s="101">
        <v>12</v>
      </c>
      <c r="D129" s="87">
        <v>1</v>
      </c>
      <c r="E129" s="15">
        <f t="shared" si="1"/>
        <v>8.3333333333333329E-2</v>
      </c>
      <c r="G129" s="9"/>
    </row>
    <row r="130" spans="1:7" ht="13.15" customHeight="1" x14ac:dyDescent="0.2">
      <c r="A130" s="16" t="s">
        <v>31</v>
      </c>
      <c r="B130" s="17" t="s">
        <v>10</v>
      </c>
      <c r="C130" s="101">
        <v>12</v>
      </c>
      <c r="D130" s="87">
        <v>1</v>
      </c>
      <c r="E130" s="15">
        <f t="shared" si="1"/>
        <v>8.3333333333333329E-2</v>
      </c>
      <c r="G130" s="9"/>
    </row>
    <row r="131" spans="1:7" ht="13.9" customHeight="1" x14ac:dyDescent="0.2">
      <c r="A131" s="16" t="s">
        <v>70</v>
      </c>
      <c r="B131" s="17" t="s">
        <v>48</v>
      </c>
      <c r="C131" s="101">
        <v>12</v>
      </c>
      <c r="D131" s="87">
        <v>1</v>
      </c>
      <c r="E131" s="15">
        <f t="shared" si="1"/>
        <v>8.3333333333333329E-2</v>
      </c>
      <c r="G131" s="9"/>
    </row>
    <row r="132" spans="1:7" ht="13.15" customHeight="1" x14ac:dyDescent="0.2">
      <c r="A132" s="16" t="s">
        <v>97</v>
      </c>
      <c r="B132" s="17" t="s">
        <v>48</v>
      </c>
      <c r="C132" s="101">
        <v>12</v>
      </c>
      <c r="D132" s="87">
        <v>1</v>
      </c>
      <c r="E132" s="15">
        <f t="shared" si="1"/>
        <v>8.3333333333333329E-2</v>
      </c>
    </row>
    <row r="133" spans="1:7" x14ac:dyDescent="0.2">
      <c r="A133" s="16" t="s">
        <v>69</v>
      </c>
      <c r="B133" s="17" t="s">
        <v>10</v>
      </c>
      <c r="C133" s="101">
        <v>12</v>
      </c>
      <c r="D133" s="87">
        <v>1</v>
      </c>
      <c r="E133" s="15">
        <f t="shared" si="1"/>
        <v>8.3333333333333329E-2</v>
      </c>
    </row>
    <row r="134" spans="1:7" s="1" customFormat="1" x14ac:dyDescent="0.2">
      <c r="A134" s="2" t="s">
        <v>11</v>
      </c>
      <c r="B134" s="3" t="s">
        <v>10</v>
      </c>
      <c r="C134" s="101">
        <v>12</v>
      </c>
      <c r="D134" s="87">
        <v>1</v>
      </c>
      <c r="E134" s="15">
        <f t="shared" si="1"/>
        <v>8.3333333333333329E-2</v>
      </c>
      <c r="F134" s="38"/>
      <c r="G134" s="38"/>
    </row>
    <row r="135" spans="1:7" x14ac:dyDescent="0.2">
      <c r="A135" s="16" t="s">
        <v>32</v>
      </c>
      <c r="B135" s="17" t="s">
        <v>48</v>
      </c>
      <c r="C135" s="101">
        <v>12</v>
      </c>
      <c r="D135" s="87">
        <v>1</v>
      </c>
      <c r="E135" s="15">
        <f t="shared" si="1"/>
        <v>8.3333333333333329E-2</v>
      </c>
    </row>
    <row r="136" spans="1:7" ht="13.15" customHeight="1" x14ac:dyDescent="0.2">
      <c r="A136" s="16" t="s">
        <v>63</v>
      </c>
      <c r="B136" s="17" t="s">
        <v>49</v>
      </c>
      <c r="C136" s="101">
        <v>12</v>
      </c>
      <c r="D136" s="87">
        <v>1</v>
      </c>
      <c r="E136" s="15">
        <f t="shared" si="1"/>
        <v>8.3333333333333329E-2</v>
      </c>
    </row>
    <row r="137" spans="1:7" x14ac:dyDescent="0.2">
      <c r="A137" s="16" t="s">
        <v>205</v>
      </c>
      <c r="B137" s="17" t="s">
        <v>131</v>
      </c>
      <c r="C137" s="122">
        <v>1</v>
      </c>
      <c r="D137" s="87">
        <v>1</v>
      </c>
      <c r="E137" s="18">
        <f t="shared" ref="E137:E138" si="2">C137*D137</f>
        <v>1</v>
      </c>
    </row>
    <row r="138" spans="1:7" ht="13.5" thickBot="1" x14ac:dyDescent="0.25">
      <c r="A138" s="16" t="s">
        <v>5</v>
      </c>
      <c r="B138" s="17" t="s">
        <v>6</v>
      </c>
      <c r="C138" s="69">
        <f>E32+E33</f>
        <v>1</v>
      </c>
      <c r="D138" s="18">
        <f>+SUM(E127:E137)</f>
        <v>1.8333333333333335</v>
      </c>
      <c r="E138" s="18">
        <f t="shared" si="2"/>
        <v>1.8333333333333335</v>
      </c>
    </row>
    <row r="139" spans="1:7" ht="13.5" thickBot="1" x14ac:dyDescent="0.25">
      <c r="D139" s="124" t="s">
        <v>202</v>
      </c>
      <c r="E139" s="50">
        <f>$B$42</f>
        <v>0.25</v>
      </c>
      <c r="F139" s="125">
        <f>E138*E139</f>
        <v>0.45833333333333337</v>
      </c>
    </row>
    <row r="140" spans="1:7" ht="11.25" customHeight="1" x14ac:dyDescent="0.2"/>
    <row r="141" spans="1:7" ht="13.9" customHeight="1" x14ac:dyDescent="0.2">
      <c r="A141" s="9" t="s">
        <v>206</v>
      </c>
    </row>
    <row r="142" spans="1:7" ht="11.25" customHeight="1" thickBot="1" x14ac:dyDescent="0.25"/>
    <row r="143" spans="1:7" ht="24.75" thickBot="1" x14ac:dyDescent="0.25">
      <c r="A143" s="60" t="s">
        <v>64</v>
      </c>
      <c r="B143" s="61" t="s">
        <v>65</v>
      </c>
      <c r="C143" s="270" t="s">
        <v>260</v>
      </c>
      <c r="D143" s="62" t="s">
        <v>242</v>
      </c>
      <c r="E143" s="62" t="s">
        <v>66</v>
      </c>
      <c r="F143" s="63" t="s">
        <v>67</v>
      </c>
    </row>
    <row r="144" spans="1:7" x14ac:dyDescent="0.2">
      <c r="A144" s="13" t="s">
        <v>68</v>
      </c>
      <c r="B144" s="14" t="s">
        <v>10</v>
      </c>
      <c r="C144" s="101">
        <v>12</v>
      </c>
      <c r="D144" s="15">
        <f>+D127</f>
        <v>1</v>
      </c>
      <c r="E144" s="15">
        <f>IFERROR(D144/C144,0)</f>
        <v>8.3333333333333329E-2</v>
      </c>
    </row>
    <row r="145" spans="1:7" x14ac:dyDescent="0.2">
      <c r="A145" s="16" t="s">
        <v>29</v>
      </c>
      <c r="B145" s="17" t="s">
        <v>10</v>
      </c>
      <c r="C145" s="101">
        <v>12</v>
      </c>
      <c r="D145" s="18">
        <f>+D128</f>
        <v>1</v>
      </c>
      <c r="E145" s="15">
        <f t="shared" ref="E145:E149" si="3">IFERROR(D145/C145,0)</f>
        <v>8.3333333333333329E-2</v>
      </c>
    </row>
    <row r="146" spans="1:7" x14ac:dyDescent="0.2">
      <c r="A146" s="16" t="s">
        <v>30</v>
      </c>
      <c r="B146" s="17" t="s">
        <v>10</v>
      </c>
      <c r="C146" s="101">
        <v>12</v>
      </c>
      <c r="D146" s="18">
        <f>+D129</f>
        <v>1</v>
      </c>
      <c r="E146" s="15">
        <f t="shared" si="3"/>
        <v>8.3333333333333329E-2</v>
      </c>
    </row>
    <row r="147" spans="1:7" x14ac:dyDescent="0.2">
      <c r="A147" s="16" t="s">
        <v>70</v>
      </c>
      <c r="B147" s="17" t="s">
        <v>48</v>
      </c>
      <c r="C147" s="101">
        <v>12</v>
      </c>
      <c r="D147" s="18">
        <f>+D131</f>
        <v>1</v>
      </c>
      <c r="E147" s="15">
        <f t="shared" si="3"/>
        <v>8.3333333333333329E-2</v>
      </c>
    </row>
    <row r="148" spans="1:7" x14ac:dyDescent="0.2">
      <c r="A148" s="16" t="s">
        <v>69</v>
      </c>
      <c r="B148" s="17" t="s">
        <v>10</v>
      </c>
      <c r="C148" s="101">
        <v>12</v>
      </c>
      <c r="D148" s="18">
        <f>+D133</f>
        <v>1</v>
      </c>
      <c r="E148" s="15">
        <f t="shared" si="3"/>
        <v>8.3333333333333329E-2</v>
      </c>
      <c r="G148" s="9"/>
    </row>
    <row r="149" spans="1:7" x14ac:dyDescent="0.2">
      <c r="A149" s="16" t="s">
        <v>63</v>
      </c>
      <c r="B149" s="17" t="s">
        <v>49</v>
      </c>
      <c r="C149" s="101">
        <v>12</v>
      </c>
      <c r="D149" s="18">
        <f>+D136</f>
        <v>1</v>
      </c>
      <c r="E149" s="15">
        <f t="shared" si="3"/>
        <v>8.3333333333333329E-2</v>
      </c>
      <c r="G149" s="9"/>
    </row>
    <row r="150" spans="1:7" x14ac:dyDescent="0.2">
      <c r="A150" s="16" t="s">
        <v>205</v>
      </c>
      <c r="B150" s="17" t="s">
        <v>131</v>
      </c>
      <c r="C150" s="122">
        <v>1</v>
      </c>
      <c r="D150" s="87">
        <v>1</v>
      </c>
      <c r="E150" s="18">
        <f t="shared" ref="E150:E151" si="4">C150*D150</f>
        <v>1</v>
      </c>
      <c r="G150" s="9"/>
    </row>
    <row r="151" spans="1:7" ht="13.5" thickBot="1" x14ac:dyDescent="0.25">
      <c r="A151" s="16" t="s">
        <v>5</v>
      </c>
      <c r="B151" s="17" t="s">
        <v>6</v>
      </c>
      <c r="C151" s="69">
        <f>E34+E35</f>
        <v>1</v>
      </c>
      <c r="D151" s="18">
        <f>+SUM(E144:E150)</f>
        <v>1.5</v>
      </c>
      <c r="E151" s="18">
        <f t="shared" si="4"/>
        <v>1.5</v>
      </c>
      <c r="G151" s="9"/>
    </row>
    <row r="152" spans="1:7" ht="13.5" thickBot="1" x14ac:dyDescent="0.25">
      <c r="D152" s="124" t="s">
        <v>202</v>
      </c>
      <c r="E152" s="50">
        <f>$B$42</f>
        <v>0.25</v>
      </c>
      <c r="F152" s="125">
        <f>E151*E152</f>
        <v>0.375</v>
      </c>
      <c r="G152" s="9"/>
    </row>
    <row r="153" spans="1:7" ht="11.25" customHeight="1" thickBot="1" x14ac:dyDescent="0.25">
      <c r="G153" s="9"/>
    </row>
    <row r="154" spans="1:7" ht="13.5" thickBot="1" x14ac:dyDescent="0.25">
      <c r="A154" s="24" t="s">
        <v>207</v>
      </c>
      <c r="B154" s="28"/>
      <c r="C154" s="28"/>
      <c r="D154" s="29"/>
      <c r="E154" s="30"/>
      <c r="F154" s="21">
        <f>+F139+F152</f>
        <v>0.83333333333333337</v>
      </c>
      <c r="G154" s="9"/>
    </row>
    <row r="155" spans="1:7" ht="11.25" customHeight="1" x14ac:dyDescent="0.2">
      <c r="G155" s="9"/>
    </row>
    <row r="156" spans="1:7" x14ac:dyDescent="0.2">
      <c r="A156" s="11" t="s">
        <v>54</v>
      </c>
      <c r="G156" s="9"/>
    </row>
    <row r="157" spans="1:7" ht="11.25" customHeight="1" x14ac:dyDescent="0.2">
      <c r="B157" s="107"/>
      <c r="G157" s="9"/>
    </row>
    <row r="158" spans="1:7" x14ac:dyDescent="0.2">
      <c r="A158" s="7" t="s">
        <v>309</v>
      </c>
      <c r="G158" s="9"/>
    </row>
    <row r="159" spans="1:7" ht="11.25" customHeight="1" x14ac:dyDescent="0.2">
      <c r="G159" s="9"/>
    </row>
    <row r="160" spans="1:7" ht="13.5" thickBot="1" x14ac:dyDescent="0.25">
      <c r="A160" s="107" t="s">
        <v>46</v>
      </c>
      <c r="G160" s="9"/>
    </row>
    <row r="161" spans="1:10" ht="13.5" thickBot="1" x14ac:dyDescent="0.25">
      <c r="A161" s="60" t="s">
        <v>64</v>
      </c>
      <c r="B161" s="61" t="s">
        <v>65</v>
      </c>
      <c r="C161" s="61" t="s">
        <v>40</v>
      </c>
      <c r="D161" s="62" t="s">
        <v>242</v>
      </c>
      <c r="E161" s="62" t="s">
        <v>66</v>
      </c>
      <c r="F161" s="63" t="s">
        <v>67</v>
      </c>
      <c r="G161" s="9"/>
    </row>
    <row r="162" spans="1:10" x14ac:dyDescent="0.2">
      <c r="A162" s="13" t="s">
        <v>113</v>
      </c>
      <c r="B162" s="14" t="s">
        <v>10</v>
      </c>
      <c r="C162" s="276">
        <v>1</v>
      </c>
      <c r="D162" s="87">
        <v>250000</v>
      </c>
      <c r="E162" s="15">
        <f>C162*D162</f>
        <v>250000</v>
      </c>
      <c r="G162" s="9"/>
    </row>
    <row r="163" spans="1:10" x14ac:dyDescent="0.2">
      <c r="A163" s="16" t="s">
        <v>107</v>
      </c>
      <c r="B163" s="17" t="s">
        <v>108</v>
      </c>
      <c r="C163" s="86">
        <v>5</v>
      </c>
      <c r="D163" s="83"/>
      <c r="E163" s="18"/>
      <c r="G163" s="9"/>
    </row>
    <row r="164" spans="1:10" x14ac:dyDescent="0.2">
      <c r="A164" s="16" t="s">
        <v>215</v>
      </c>
      <c r="B164" s="17" t="s">
        <v>108</v>
      </c>
      <c r="C164" s="86">
        <v>0</v>
      </c>
      <c r="D164" s="18"/>
      <c r="E164" s="18"/>
      <c r="F164" s="20"/>
      <c r="I164" s="85"/>
      <c r="J164" s="85"/>
    </row>
    <row r="165" spans="1:10" x14ac:dyDescent="0.2">
      <c r="A165" s="16" t="s">
        <v>111</v>
      </c>
      <c r="B165" s="17" t="s">
        <v>2</v>
      </c>
      <c r="C165" s="141">
        <f>IFERROR(VLOOKUP(C163,'5. Depreciação'!A3:B17,2,FALSE),0)</f>
        <v>55.679999999999993</v>
      </c>
      <c r="D165" s="18">
        <f>E162</f>
        <v>250000</v>
      </c>
      <c r="E165" s="18">
        <f>C165*D165/100</f>
        <v>139199.99999999997</v>
      </c>
    </row>
    <row r="166" spans="1:10" ht="13.5" thickBot="1" x14ac:dyDescent="0.25">
      <c r="A166" s="279" t="s">
        <v>50</v>
      </c>
      <c r="B166" s="280" t="s">
        <v>8</v>
      </c>
      <c r="C166" s="280">
        <f>C163*12</f>
        <v>60</v>
      </c>
      <c r="D166" s="281">
        <f>IF(C164&lt;=C163,E165,0)</f>
        <v>139199.99999999997</v>
      </c>
      <c r="E166" s="281">
        <f>IFERROR(D166/C166,0)</f>
        <v>2319.9999999999995</v>
      </c>
    </row>
    <row r="167" spans="1:10" ht="13.5" thickTop="1" x14ac:dyDescent="0.2">
      <c r="A167" s="13" t="s">
        <v>112</v>
      </c>
      <c r="B167" s="14" t="s">
        <v>10</v>
      </c>
      <c r="C167" s="14">
        <f>C162</f>
        <v>1</v>
      </c>
      <c r="D167" s="87"/>
      <c r="E167" s="15">
        <f>C167*D167</f>
        <v>0</v>
      </c>
      <c r="G167" s="9"/>
    </row>
    <row r="168" spans="1:10" x14ac:dyDescent="0.2">
      <c r="A168" s="16" t="s">
        <v>109</v>
      </c>
      <c r="B168" s="17" t="s">
        <v>108</v>
      </c>
      <c r="C168" s="86"/>
      <c r="D168" s="18"/>
      <c r="E168" s="18"/>
    </row>
    <row r="169" spans="1:10" x14ac:dyDescent="0.2">
      <c r="A169" s="16" t="s">
        <v>216</v>
      </c>
      <c r="B169" s="17" t="s">
        <v>108</v>
      </c>
      <c r="C169" s="86"/>
      <c r="D169" s="18"/>
      <c r="E169" s="18"/>
      <c r="F169" s="20"/>
      <c r="I169" s="85"/>
      <c r="J169" s="85"/>
    </row>
    <row r="170" spans="1:10" x14ac:dyDescent="0.2">
      <c r="A170" s="16" t="s">
        <v>110</v>
      </c>
      <c r="B170" s="17" t="s">
        <v>2</v>
      </c>
      <c r="C170" s="142">
        <f>IFERROR(VLOOKUP(C168,'5. Depreciação'!A3:B17,2,FALSE),0)</f>
        <v>0</v>
      </c>
      <c r="D170" s="18">
        <f>E167</f>
        <v>0</v>
      </c>
      <c r="E170" s="18">
        <f>C170*D170/100</f>
        <v>0</v>
      </c>
    </row>
    <row r="171" spans="1:10" x14ac:dyDescent="0.2">
      <c r="A171" s="103" t="s">
        <v>114</v>
      </c>
      <c r="B171" s="104" t="s">
        <v>8</v>
      </c>
      <c r="C171" s="104">
        <f>C168*12</f>
        <v>0</v>
      </c>
      <c r="D171" s="105">
        <f>IF(C169&lt;=C168,E170,0)</f>
        <v>0</v>
      </c>
      <c r="E171" s="105">
        <f>IFERROR(D171/C171,0)</f>
        <v>0</v>
      </c>
    </row>
    <row r="172" spans="1:10" x14ac:dyDescent="0.2">
      <c r="A172" s="117" t="s">
        <v>263</v>
      </c>
      <c r="B172" s="118"/>
      <c r="C172" s="118"/>
      <c r="D172" s="119"/>
      <c r="E172" s="120">
        <f>E166+E171</f>
        <v>2319.9999999999995</v>
      </c>
    </row>
    <row r="173" spans="1:10" ht="13.5" thickBot="1" x14ac:dyDescent="0.25">
      <c r="A173" s="103" t="s">
        <v>264</v>
      </c>
      <c r="B173" s="104" t="s">
        <v>10</v>
      </c>
      <c r="C173" s="86">
        <v>1</v>
      </c>
      <c r="D173" s="105">
        <f>E172</f>
        <v>2319.9999999999995</v>
      </c>
      <c r="E173" s="120">
        <f>C173*D173</f>
        <v>2319.9999999999995</v>
      </c>
    </row>
    <row r="174" spans="1:10" ht="13.5" thickBot="1" x14ac:dyDescent="0.25">
      <c r="A174" s="275"/>
      <c r="B174" s="275"/>
      <c r="C174" s="275"/>
      <c r="D174" s="124" t="s">
        <v>202</v>
      </c>
      <c r="E174" s="50">
        <f>$B$42</f>
        <v>0.25</v>
      </c>
      <c r="F174" s="21">
        <f>E173*E174</f>
        <v>579.99999999999989</v>
      </c>
    </row>
    <row r="175" spans="1:10" ht="11.25" customHeight="1" x14ac:dyDescent="0.2"/>
    <row r="176" spans="1:10" ht="13.5" thickBot="1" x14ac:dyDescent="0.25">
      <c r="A176" s="107" t="s">
        <v>119</v>
      </c>
    </row>
    <row r="177" spans="1:10" ht="13.5" thickBot="1" x14ac:dyDescent="0.25">
      <c r="A177" s="109" t="s">
        <v>64</v>
      </c>
      <c r="B177" s="110" t="s">
        <v>65</v>
      </c>
      <c r="C177" s="110" t="s">
        <v>40</v>
      </c>
      <c r="D177" s="62" t="s">
        <v>242</v>
      </c>
      <c r="E177" s="111" t="s">
        <v>66</v>
      </c>
      <c r="F177" s="63" t="s">
        <v>67</v>
      </c>
      <c r="I177" s="85"/>
      <c r="J177" s="85"/>
    </row>
    <row r="178" spans="1:10" x14ac:dyDescent="0.2">
      <c r="A178" s="16" t="s">
        <v>117</v>
      </c>
      <c r="B178" s="17" t="s">
        <v>10</v>
      </c>
      <c r="C178" s="276">
        <v>1</v>
      </c>
      <c r="D178" s="18">
        <f>D162</f>
        <v>250000</v>
      </c>
      <c r="E178" s="18">
        <f>C178*D178</f>
        <v>250000</v>
      </c>
      <c r="F178" s="20"/>
      <c r="I178" s="85"/>
      <c r="J178" s="85"/>
    </row>
    <row r="179" spans="1:10" x14ac:dyDescent="0.2">
      <c r="A179" s="16" t="s">
        <v>219</v>
      </c>
      <c r="B179" s="17" t="s">
        <v>2</v>
      </c>
      <c r="C179" s="312">
        <v>2.9</v>
      </c>
      <c r="D179" s="18"/>
      <c r="E179" s="18"/>
      <c r="F179" s="20"/>
      <c r="I179" s="85"/>
      <c r="J179" s="85"/>
    </row>
    <row r="180" spans="1:10" x14ac:dyDescent="0.2">
      <c r="A180" s="16" t="s">
        <v>217</v>
      </c>
      <c r="B180" s="17" t="s">
        <v>33</v>
      </c>
      <c r="C180" s="149">
        <f>IFERROR(IF(C164&lt;=C163,E162-(C165/(100*C163)*C164)*E162,E162-E165),0)</f>
        <v>250000</v>
      </c>
      <c r="D180" s="18"/>
      <c r="E180" s="18"/>
      <c r="F180" s="20"/>
      <c r="I180" s="85"/>
      <c r="J180" s="85"/>
    </row>
    <row r="181" spans="1:10" x14ac:dyDescent="0.2">
      <c r="A181" s="16" t="s">
        <v>122</v>
      </c>
      <c r="B181" s="17" t="s">
        <v>33</v>
      </c>
      <c r="C181" s="83">
        <f>IFERROR(IF(C164&gt;=C163,C180,((((C180)-(E162-E165))*(((C163-C164)+1)/(2*(C163-C164))))+(E162-E165))),0)</f>
        <v>194320</v>
      </c>
      <c r="D181" s="18"/>
      <c r="E181" s="18"/>
      <c r="F181" s="20"/>
      <c r="I181" s="85"/>
      <c r="J181" s="85"/>
    </row>
    <row r="182" spans="1:10" ht="13.5" thickBot="1" x14ac:dyDescent="0.25">
      <c r="A182" s="279" t="s">
        <v>123</v>
      </c>
      <c r="B182" s="280" t="s">
        <v>33</v>
      </c>
      <c r="C182" s="280"/>
      <c r="D182" s="282">
        <f>C179*C181/12/100</f>
        <v>469.60666666666663</v>
      </c>
      <c r="E182" s="281">
        <f>D182</f>
        <v>469.60666666666663</v>
      </c>
      <c r="F182" s="20"/>
      <c r="I182" s="85"/>
      <c r="J182" s="85"/>
    </row>
    <row r="183" spans="1:10" ht="13.5" thickTop="1" x14ac:dyDescent="0.2">
      <c r="A183" s="13" t="s">
        <v>118</v>
      </c>
      <c r="B183" s="14" t="s">
        <v>10</v>
      </c>
      <c r="C183" s="14">
        <f>C167</f>
        <v>1</v>
      </c>
      <c r="D183" s="15">
        <f>D167</f>
        <v>0</v>
      </c>
      <c r="E183" s="15">
        <f>C183*D183</f>
        <v>0</v>
      </c>
      <c r="F183" s="20"/>
      <c r="I183" s="85"/>
      <c r="J183" s="85"/>
    </row>
    <row r="184" spans="1:10" x14ac:dyDescent="0.2">
      <c r="A184" s="16" t="s">
        <v>219</v>
      </c>
      <c r="B184" s="17" t="s">
        <v>2</v>
      </c>
      <c r="C184" s="277">
        <f>C179</f>
        <v>2.9</v>
      </c>
      <c r="D184" s="18"/>
      <c r="E184" s="18"/>
      <c r="F184" s="20"/>
      <c r="I184" s="85"/>
      <c r="J184" s="85"/>
    </row>
    <row r="185" spans="1:10" x14ac:dyDescent="0.2">
      <c r="A185" s="16" t="s">
        <v>218</v>
      </c>
      <c r="B185" s="17" t="s">
        <v>33</v>
      </c>
      <c r="C185" s="149">
        <f>IFERROR(IF(C169&lt;=C168,E167-(C170/(100*C168)*C169)*E167,E167-E170),0)</f>
        <v>0</v>
      </c>
      <c r="D185" s="18"/>
      <c r="E185" s="18"/>
      <c r="F185" s="20"/>
      <c r="I185" s="85"/>
      <c r="J185" s="85"/>
    </row>
    <row r="186" spans="1:10" x14ac:dyDescent="0.2">
      <c r="A186" s="16" t="s">
        <v>124</v>
      </c>
      <c r="B186" s="17" t="s">
        <v>33</v>
      </c>
      <c r="C186" s="83">
        <f>IFERROR(IF(C169&gt;=C168,C185,((((C185)-(E167-E170))*(((C168-C169)+1)/(2*(C168-C169))))+(E167-E170))),0)</f>
        <v>0</v>
      </c>
      <c r="D186" s="18"/>
      <c r="E186" s="18"/>
      <c r="F186" s="20"/>
      <c r="I186" s="85"/>
      <c r="J186" s="85"/>
    </row>
    <row r="187" spans="1:10" x14ac:dyDescent="0.2">
      <c r="A187" s="103" t="s">
        <v>121</v>
      </c>
      <c r="B187" s="104" t="s">
        <v>33</v>
      </c>
      <c r="C187" s="104"/>
      <c r="D187" s="113">
        <f>C184*C186/12/100</f>
        <v>0</v>
      </c>
      <c r="E187" s="105">
        <f>D187</f>
        <v>0</v>
      </c>
      <c r="F187" s="20"/>
      <c r="I187" s="85"/>
      <c r="J187" s="85"/>
    </row>
    <row r="188" spans="1:10" x14ac:dyDescent="0.2">
      <c r="A188" s="117" t="s">
        <v>263</v>
      </c>
      <c r="B188" s="118"/>
      <c r="C188" s="118"/>
      <c r="D188" s="119"/>
      <c r="E188" s="120">
        <f>E182+E187</f>
        <v>469.60666666666663</v>
      </c>
      <c r="F188" s="20"/>
      <c r="I188" s="85"/>
      <c r="J188" s="85"/>
    </row>
    <row r="189" spans="1:10" ht="13.5" thickBot="1" x14ac:dyDescent="0.25">
      <c r="A189" s="103" t="s">
        <v>264</v>
      </c>
      <c r="B189" s="104" t="s">
        <v>10</v>
      </c>
      <c r="C189" s="277">
        <f>C173</f>
        <v>1</v>
      </c>
      <c r="D189" s="105">
        <f>E188</f>
        <v>469.60666666666663</v>
      </c>
      <c r="E189" s="120">
        <f>C189*D189</f>
        <v>469.60666666666663</v>
      </c>
      <c r="F189" s="20"/>
      <c r="I189" s="85"/>
      <c r="J189" s="85"/>
    </row>
    <row r="190" spans="1:10" ht="13.5" thickBot="1" x14ac:dyDescent="0.25">
      <c r="C190" s="19"/>
      <c r="D190" s="124" t="s">
        <v>202</v>
      </c>
      <c r="E190" s="50">
        <f>$B$42</f>
        <v>0.25</v>
      </c>
      <c r="F190" s="21">
        <f>E189*E190</f>
        <v>117.40166666666666</v>
      </c>
      <c r="I190" s="85"/>
      <c r="J190" s="85"/>
    </row>
    <row r="191" spans="1:10" ht="11.25" customHeight="1" x14ac:dyDescent="0.2">
      <c r="I191" s="85"/>
      <c r="J191" s="85"/>
    </row>
    <row r="192" spans="1:10" ht="13.5" thickBot="1" x14ac:dyDescent="0.25">
      <c r="A192" s="9" t="s">
        <v>51</v>
      </c>
      <c r="I192" s="85"/>
      <c r="J192" s="85"/>
    </row>
    <row r="193" spans="1:10" ht="13.5" thickBot="1" x14ac:dyDescent="0.25">
      <c r="A193" s="60" t="s">
        <v>64</v>
      </c>
      <c r="B193" s="61" t="s">
        <v>65</v>
      </c>
      <c r="C193" s="61" t="s">
        <v>40</v>
      </c>
      <c r="D193" s="62" t="s">
        <v>242</v>
      </c>
      <c r="E193" s="62" t="s">
        <v>66</v>
      </c>
      <c r="F193" s="63" t="s">
        <v>67</v>
      </c>
      <c r="I193" s="85"/>
      <c r="J193" s="85"/>
    </row>
    <row r="194" spans="1:10" x14ac:dyDescent="0.2">
      <c r="A194" s="13" t="s">
        <v>12</v>
      </c>
      <c r="B194" s="14" t="s">
        <v>10</v>
      </c>
      <c r="C194" s="15">
        <f>C173</f>
        <v>1</v>
      </c>
      <c r="D194" s="15">
        <f>0.01*($E$162)</f>
        <v>2500</v>
      </c>
      <c r="E194" s="15">
        <f>C194*D194</f>
        <v>2500</v>
      </c>
      <c r="I194" s="85"/>
      <c r="J194" s="85"/>
    </row>
    <row r="195" spans="1:10" x14ac:dyDescent="0.2">
      <c r="A195" s="16" t="s">
        <v>201</v>
      </c>
      <c r="B195" s="17" t="s">
        <v>10</v>
      </c>
      <c r="C195" s="15">
        <f>C173</f>
        <v>1</v>
      </c>
      <c r="D195" s="89">
        <v>300</v>
      </c>
      <c r="E195" s="18">
        <f>C195*D195</f>
        <v>300</v>
      </c>
      <c r="I195" s="85"/>
      <c r="J195" s="85"/>
    </row>
    <row r="196" spans="1:10" x14ac:dyDescent="0.2">
      <c r="A196" s="16" t="s">
        <v>13</v>
      </c>
      <c r="B196" s="17" t="s">
        <v>10</v>
      </c>
      <c r="C196" s="15">
        <f>C173</f>
        <v>1</v>
      </c>
      <c r="D196" s="89">
        <v>2000</v>
      </c>
      <c r="E196" s="18">
        <f>C196*D196</f>
        <v>2000</v>
      </c>
      <c r="F196" s="31"/>
      <c r="I196" s="85"/>
      <c r="J196" s="85"/>
    </row>
    <row r="197" spans="1:10" ht="13.5" thickBot="1" x14ac:dyDescent="0.25">
      <c r="A197" s="103" t="s">
        <v>14</v>
      </c>
      <c r="B197" s="104" t="s">
        <v>8</v>
      </c>
      <c r="C197" s="104">
        <v>12</v>
      </c>
      <c r="D197" s="105">
        <f>SUM(E194:E196)</f>
        <v>4800</v>
      </c>
      <c r="E197" s="105">
        <f>D197/C197</f>
        <v>400</v>
      </c>
      <c r="I197" s="85"/>
      <c r="J197" s="85"/>
    </row>
    <row r="198" spans="1:10" ht="13.5" thickBot="1" x14ac:dyDescent="0.25">
      <c r="D198" s="124" t="s">
        <v>202</v>
      </c>
      <c r="E198" s="50">
        <f>$B$42</f>
        <v>0.25</v>
      </c>
      <c r="F198" s="125">
        <f>E197*E198</f>
        <v>100</v>
      </c>
      <c r="I198" s="85"/>
      <c r="J198" s="85"/>
    </row>
    <row r="199" spans="1:10" ht="11.25" customHeight="1" x14ac:dyDescent="0.2">
      <c r="I199" s="85"/>
      <c r="J199" s="85"/>
    </row>
    <row r="200" spans="1:10" x14ac:dyDescent="0.2">
      <c r="A200" s="9" t="s">
        <v>52</v>
      </c>
      <c r="B200" s="32"/>
      <c r="I200" s="85"/>
      <c r="J200" s="85"/>
    </row>
    <row r="201" spans="1:10" x14ac:dyDescent="0.2">
      <c r="B201" s="32"/>
      <c r="I201" s="85"/>
      <c r="J201" s="85"/>
    </row>
    <row r="202" spans="1:10" x14ac:dyDescent="0.2">
      <c r="A202" s="103" t="s">
        <v>126</v>
      </c>
      <c r="B202" s="114">
        <v>572.79999999999995</v>
      </c>
      <c r="I202" s="85"/>
      <c r="J202" s="85"/>
    </row>
    <row r="203" spans="1:10" ht="13.5" thickBot="1" x14ac:dyDescent="0.25">
      <c r="B203" s="32"/>
      <c r="I203" s="85"/>
      <c r="J203" s="85"/>
    </row>
    <row r="204" spans="1:10" ht="13.5" thickBot="1" x14ac:dyDescent="0.25">
      <c r="A204" s="60" t="s">
        <v>64</v>
      </c>
      <c r="B204" s="61" t="s">
        <v>65</v>
      </c>
      <c r="C204" s="61" t="s">
        <v>262</v>
      </c>
      <c r="D204" s="62" t="s">
        <v>242</v>
      </c>
      <c r="E204" s="62" t="s">
        <v>66</v>
      </c>
      <c r="F204" s="63" t="s">
        <v>67</v>
      </c>
      <c r="I204" s="85"/>
      <c r="J204" s="85"/>
    </row>
    <row r="205" spans="1:10" x14ac:dyDescent="0.2">
      <c r="A205" s="13" t="s">
        <v>15</v>
      </c>
      <c r="B205" s="14" t="s">
        <v>16</v>
      </c>
      <c r="C205" s="97">
        <v>4</v>
      </c>
      <c r="D205" s="98">
        <v>4.3410000000000002</v>
      </c>
      <c r="E205" s="15"/>
      <c r="I205" s="85"/>
      <c r="J205" s="85"/>
    </row>
    <row r="206" spans="1:10" x14ac:dyDescent="0.2">
      <c r="A206" s="16" t="s">
        <v>17</v>
      </c>
      <c r="B206" s="17" t="s">
        <v>18</v>
      </c>
      <c r="C206" s="94">
        <f>B202</f>
        <v>572.79999999999995</v>
      </c>
      <c r="D206" s="274">
        <f>IFERROR(+D205/C205,"-")</f>
        <v>1.08525</v>
      </c>
      <c r="E206" s="18">
        <f>IFERROR(C206*D206,"-")</f>
        <v>621.63119999999992</v>
      </c>
      <c r="I206" s="85"/>
      <c r="J206" s="85"/>
    </row>
    <row r="207" spans="1:10" x14ac:dyDescent="0.2">
      <c r="A207" s="16" t="s">
        <v>243</v>
      </c>
      <c r="B207" s="17" t="s">
        <v>19</v>
      </c>
      <c r="C207" s="100">
        <v>5</v>
      </c>
      <c r="D207" s="89">
        <v>10.88</v>
      </c>
      <c r="E207" s="18"/>
      <c r="G207" s="112"/>
      <c r="H207" s="52"/>
      <c r="I207" s="85"/>
      <c r="J207" s="85"/>
    </row>
    <row r="208" spans="1:10" x14ac:dyDescent="0.2">
      <c r="A208" s="16" t="s">
        <v>20</v>
      </c>
      <c r="B208" s="17" t="s">
        <v>18</v>
      </c>
      <c r="C208" s="94">
        <f>C206</f>
        <v>572.79999999999995</v>
      </c>
      <c r="D208" s="271">
        <f>+C207*D207/1000</f>
        <v>5.4400000000000004E-2</v>
      </c>
      <c r="E208" s="18">
        <f>C208*D208</f>
        <v>31.160319999999999</v>
      </c>
      <c r="G208" s="112"/>
      <c r="H208" s="52"/>
      <c r="I208" s="85"/>
      <c r="J208" s="85"/>
    </row>
    <row r="209" spans="1:10" x14ac:dyDescent="0.2">
      <c r="A209" s="16" t="s">
        <v>244</v>
      </c>
      <c r="B209" s="17" t="s">
        <v>19</v>
      </c>
      <c r="C209" s="100">
        <v>0.85</v>
      </c>
      <c r="D209" s="89">
        <v>12.78</v>
      </c>
      <c r="E209" s="18"/>
      <c r="G209" s="112"/>
      <c r="H209" s="52"/>
      <c r="I209" s="85"/>
      <c r="J209" s="85"/>
    </row>
    <row r="210" spans="1:10" x14ac:dyDescent="0.2">
      <c r="A210" s="16" t="s">
        <v>21</v>
      </c>
      <c r="B210" s="17" t="s">
        <v>18</v>
      </c>
      <c r="C210" s="94">
        <f>C206</f>
        <v>572.79999999999995</v>
      </c>
      <c r="D210" s="271">
        <f>+C209*D209/1000</f>
        <v>1.0862999999999999E-2</v>
      </c>
      <c r="E210" s="18">
        <f>C210*D210</f>
        <v>6.2223263999999991</v>
      </c>
      <c r="G210" s="112"/>
      <c r="H210" s="52"/>
      <c r="I210" s="85"/>
      <c r="J210" s="85"/>
    </row>
    <row r="211" spans="1:10" x14ac:dyDescent="0.2">
      <c r="A211" s="16" t="s">
        <v>245</v>
      </c>
      <c r="B211" s="17" t="s">
        <v>19</v>
      </c>
      <c r="C211" s="100">
        <v>0</v>
      </c>
      <c r="D211" s="89">
        <v>0</v>
      </c>
      <c r="E211" s="18"/>
      <c r="G211" s="112"/>
      <c r="H211" s="52"/>
      <c r="I211" s="85"/>
      <c r="J211" s="85"/>
    </row>
    <row r="212" spans="1:10" x14ac:dyDescent="0.2">
      <c r="A212" s="16" t="s">
        <v>22</v>
      </c>
      <c r="B212" s="17" t="s">
        <v>18</v>
      </c>
      <c r="C212" s="94">
        <f>C206</f>
        <v>572.79999999999995</v>
      </c>
      <c r="D212" s="271">
        <f>+C211*D211/1000</f>
        <v>0</v>
      </c>
      <c r="E212" s="18">
        <f>C212*D212</f>
        <v>0</v>
      </c>
      <c r="G212" s="112"/>
      <c r="H212" s="52"/>
      <c r="I212" s="85"/>
      <c r="J212" s="85"/>
    </row>
    <row r="213" spans="1:10" x14ac:dyDescent="0.2">
      <c r="A213" s="16" t="s">
        <v>23</v>
      </c>
      <c r="B213" s="17" t="s">
        <v>24</v>
      </c>
      <c r="C213" s="100">
        <v>0.5</v>
      </c>
      <c r="D213" s="89">
        <v>18</v>
      </c>
      <c r="E213" s="18"/>
      <c r="G213" s="112"/>
      <c r="H213" s="52"/>
      <c r="I213" s="85"/>
      <c r="J213" s="85"/>
    </row>
    <row r="214" spans="1:10" x14ac:dyDescent="0.2">
      <c r="A214" s="16" t="s">
        <v>25</v>
      </c>
      <c r="B214" s="17" t="s">
        <v>18</v>
      </c>
      <c r="C214" s="94">
        <f>C206</f>
        <v>572.79999999999995</v>
      </c>
      <c r="D214" s="271">
        <f>+C213*D213/1000</f>
        <v>8.9999999999999993E-3</v>
      </c>
      <c r="E214" s="18">
        <f>C214*D214</f>
        <v>5.1551999999999989</v>
      </c>
      <c r="G214" s="112"/>
      <c r="H214" s="52"/>
      <c r="I214" s="85"/>
      <c r="J214" s="85"/>
    </row>
    <row r="215" spans="1:10" ht="13.5" thickBot="1" x14ac:dyDescent="0.25">
      <c r="A215" s="103" t="s">
        <v>261</v>
      </c>
      <c r="B215" s="104" t="s">
        <v>127</v>
      </c>
      <c r="C215" s="272"/>
      <c r="D215" s="273">
        <f>IFERROR(D206+D208+D210+D212+D214,0)</f>
        <v>1.159513</v>
      </c>
      <c r="E215" s="18"/>
      <c r="G215" s="112"/>
      <c r="H215" s="52"/>
      <c r="I215" s="85"/>
      <c r="J215" s="85"/>
    </row>
    <row r="216" spans="1:10" ht="13.5" thickBot="1" x14ac:dyDescent="0.25">
      <c r="F216" s="21">
        <f>SUM(E205:E214)</f>
        <v>664.16904639999996</v>
      </c>
      <c r="I216" s="85"/>
      <c r="J216" s="85"/>
    </row>
    <row r="217" spans="1:10" ht="11.25" customHeight="1" x14ac:dyDescent="0.2">
      <c r="I217" s="85"/>
      <c r="J217" s="85"/>
    </row>
    <row r="218" spans="1:10" ht="13.5" thickBot="1" x14ac:dyDescent="0.25">
      <c r="A218" s="9" t="s">
        <v>53</v>
      </c>
      <c r="I218" s="85"/>
      <c r="J218" s="85"/>
    </row>
    <row r="219" spans="1:10" ht="13.5" thickBot="1" x14ac:dyDescent="0.25">
      <c r="A219" s="60" t="s">
        <v>64</v>
      </c>
      <c r="B219" s="61" t="s">
        <v>65</v>
      </c>
      <c r="C219" s="61" t="s">
        <v>40</v>
      </c>
      <c r="D219" s="62" t="s">
        <v>242</v>
      </c>
      <c r="E219" s="62" t="s">
        <v>66</v>
      </c>
      <c r="F219" s="63" t="s">
        <v>67</v>
      </c>
      <c r="I219" s="85"/>
      <c r="J219" s="85"/>
    </row>
    <row r="220" spans="1:10" ht="13.5" thickBot="1" x14ac:dyDescent="0.25">
      <c r="A220" s="13" t="s">
        <v>125</v>
      </c>
      <c r="B220" s="14" t="s">
        <v>127</v>
      </c>
      <c r="C220" s="94">
        <f>C206</f>
        <v>572.79999999999995</v>
      </c>
      <c r="D220" s="87">
        <v>1.04</v>
      </c>
      <c r="E220" s="15">
        <f>C220*D220</f>
        <v>595.71199999999999</v>
      </c>
      <c r="I220" s="85"/>
      <c r="J220" s="85"/>
    </row>
    <row r="221" spans="1:10" ht="13.5" thickBot="1" x14ac:dyDescent="0.25">
      <c r="F221" s="21">
        <f>E220</f>
        <v>595.71199999999999</v>
      </c>
      <c r="I221" s="85"/>
      <c r="J221" s="85"/>
    </row>
    <row r="222" spans="1:10" ht="11.25" customHeight="1" x14ac:dyDescent="0.2">
      <c r="I222" s="85"/>
      <c r="J222" s="85"/>
    </row>
    <row r="223" spans="1:10" ht="13.5" thickBot="1" x14ac:dyDescent="0.25">
      <c r="A223" s="9" t="s">
        <v>62</v>
      </c>
      <c r="I223" s="85"/>
      <c r="J223" s="85"/>
    </row>
    <row r="224" spans="1:10" ht="13.5" thickBot="1" x14ac:dyDescent="0.25">
      <c r="A224" s="60" t="s">
        <v>64</v>
      </c>
      <c r="B224" s="61" t="s">
        <v>65</v>
      </c>
      <c r="C224" s="61" t="s">
        <v>40</v>
      </c>
      <c r="D224" s="62" t="s">
        <v>242</v>
      </c>
      <c r="E224" s="62" t="s">
        <v>66</v>
      </c>
      <c r="F224" s="63" t="s">
        <v>67</v>
      </c>
      <c r="I224" s="85"/>
      <c r="J224" s="85"/>
    </row>
    <row r="225" spans="1:10" x14ac:dyDescent="0.2">
      <c r="A225" s="13" t="s">
        <v>98</v>
      </c>
      <c r="B225" s="14" t="s">
        <v>10</v>
      </c>
      <c r="C225" s="96">
        <v>6</v>
      </c>
      <c r="D225" s="87">
        <v>1500</v>
      </c>
      <c r="E225" s="15">
        <f>C225*D225</f>
        <v>9000</v>
      </c>
      <c r="I225" s="85"/>
      <c r="J225" s="85"/>
    </row>
    <row r="226" spans="1:10" x14ac:dyDescent="0.2">
      <c r="A226" s="13" t="s">
        <v>128</v>
      </c>
      <c r="B226" s="14" t="s">
        <v>10</v>
      </c>
      <c r="C226" s="96">
        <v>8</v>
      </c>
      <c r="D226" s="106"/>
      <c r="E226" s="15"/>
      <c r="I226" s="85"/>
      <c r="J226" s="85"/>
    </row>
    <row r="227" spans="1:10" x14ac:dyDescent="0.2">
      <c r="A227" s="13" t="s">
        <v>71</v>
      </c>
      <c r="B227" s="14" t="s">
        <v>10</v>
      </c>
      <c r="C227" s="15">
        <f>C225*C226</f>
        <v>48</v>
      </c>
      <c r="D227" s="87">
        <v>450</v>
      </c>
      <c r="E227" s="15">
        <f>C227*D227</f>
        <v>21600</v>
      </c>
      <c r="I227" s="85"/>
      <c r="J227" s="85"/>
    </row>
    <row r="228" spans="1:10" x14ac:dyDescent="0.2">
      <c r="A228" s="16" t="s">
        <v>99</v>
      </c>
      <c r="B228" s="17" t="s">
        <v>26</v>
      </c>
      <c r="C228" s="99">
        <v>60000</v>
      </c>
      <c r="D228" s="18">
        <f>E225+E227</f>
        <v>30600</v>
      </c>
      <c r="E228" s="18">
        <f>IFERROR(D228/C228,"-")</f>
        <v>0.51</v>
      </c>
      <c r="I228" s="85"/>
      <c r="J228" s="85"/>
    </row>
    <row r="229" spans="1:10" ht="13.5" thickBot="1" x14ac:dyDescent="0.25">
      <c r="A229" s="16" t="s">
        <v>55</v>
      </c>
      <c r="B229" s="17" t="s">
        <v>18</v>
      </c>
      <c r="C229" s="94">
        <f>B202</f>
        <v>572.79999999999995</v>
      </c>
      <c r="D229" s="18">
        <f>E228</f>
        <v>0.51</v>
      </c>
      <c r="E229" s="18">
        <f>IFERROR(C229*D229,0)</f>
        <v>292.12799999999999</v>
      </c>
      <c r="I229" s="85"/>
      <c r="J229" s="85"/>
    </row>
    <row r="230" spans="1:10" ht="13.5" thickBot="1" x14ac:dyDescent="0.25">
      <c r="F230" s="21">
        <f>E229</f>
        <v>292.12799999999999</v>
      </c>
      <c r="I230" s="85"/>
      <c r="J230" s="85"/>
    </row>
    <row r="231" spans="1:10" ht="11.25" customHeight="1" x14ac:dyDescent="0.2">
      <c r="I231" s="85"/>
      <c r="J231" s="85"/>
    </row>
    <row r="232" spans="1:10" ht="11.25" customHeight="1" thickBot="1" x14ac:dyDescent="0.25">
      <c r="G232" s="9"/>
    </row>
    <row r="233" spans="1:10" ht="13.5" thickBot="1" x14ac:dyDescent="0.25">
      <c r="A233" s="24" t="s">
        <v>230</v>
      </c>
      <c r="B233" s="25"/>
      <c r="C233" s="25"/>
      <c r="D233" s="26"/>
      <c r="E233" s="27"/>
      <c r="F233" s="21">
        <f>+SUM(F162:F232)</f>
        <v>2349.4107130666666</v>
      </c>
      <c r="G233" s="9"/>
    </row>
    <row r="234" spans="1:10" ht="11.25" customHeight="1" x14ac:dyDescent="0.2">
      <c r="G234" s="9"/>
    </row>
    <row r="235" spans="1:10" x14ac:dyDescent="0.2">
      <c r="A235" s="34" t="s">
        <v>75</v>
      </c>
      <c r="B235" s="34"/>
      <c r="C235" s="34"/>
      <c r="D235" s="35"/>
      <c r="E235" s="35"/>
      <c r="F235" s="33"/>
      <c r="G235" s="9"/>
    </row>
    <row r="236" spans="1:10" ht="11.25" customHeight="1" thickBot="1" x14ac:dyDescent="0.25">
      <c r="G236" s="9"/>
    </row>
    <row r="237" spans="1:10" ht="13.5" thickBot="1" x14ac:dyDescent="0.25">
      <c r="A237" s="60" t="s">
        <v>64</v>
      </c>
      <c r="B237" s="61" t="s">
        <v>65</v>
      </c>
      <c r="C237" s="61" t="s">
        <v>40</v>
      </c>
      <c r="D237" s="62" t="s">
        <v>242</v>
      </c>
      <c r="E237" s="62" t="s">
        <v>66</v>
      </c>
      <c r="F237" s="63" t="s">
        <v>67</v>
      </c>
      <c r="G237" s="9"/>
    </row>
    <row r="238" spans="1:10" x14ac:dyDescent="0.2">
      <c r="A238" s="16" t="s">
        <v>72</v>
      </c>
      <c r="B238" s="17" t="s">
        <v>10</v>
      </c>
      <c r="C238" s="101"/>
      <c r="D238" s="87"/>
      <c r="E238" s="18">
        <f>C238*D238</f>
        <v>0</v>
      </c>
      <c r="F238" s="55"/>
      <c r="G238" s="9"/>
    </row>
    <row r="239" spans="1:10" x14ac:dyDescent="0.2">
      <c r="A239" s="16" t="s">
        <v>27</v>
      </c>
      <c r="B239" s="17" t="s">
        <v>10</v>
      </c>
      <c r="C239" s="101"/>
      <c r="D239" s="87"/>
      <c r="E239" s="18">
        <f>C239*D239</f>
        <v>0</v>
      </c>
      <c r="F239" s="55"/>
      <c r="G239" s="9"/>
    </row>
    <row r="240" spans="1:10" x14ac:dyDescent="0.2">
      <c r="A240" s="16" t="s">
        <v>28</v>
      </c>
      <c r="B240" s="17" t="s">
        <v>10</v>
      </c>
      <c r="C240" s="101"/>
      <c r="D240" s="87"/>
      <c r="E240" s="18">
        <f>C240*D240</f>
        <v>0</v>
      </c>
      <c r="F240" s="55"/>
      <c r="G240" s="9"/>
    </row>
    <row r="241" spans="1:7" x14ac:dyDescent="0.2">
      <c r="A241" s="16" t="s">
        <v>57</v>
      </c>
      <c r="B241" s="17" t="s">
        <v>58</v>
      </c>
      <c r="C241" s="101"/>
      <c r="D241" s="87"/>
      <c r="E241" s="18">
        <f>C241*D241</f>
        <v>0</v>
      </c>
      <c r="F241" s="55"/>
      <c r="G241" s="9"/>
    </row>
    <row r="242" spans="1:7" ht="13.5" thickBot="1" x14ac:dyDescent="0.25">
      <c r="A242" s="16" t="s">
        <v>60</v>
      </c>
      <c r="B242" s="17" t="s">
        <v>58</v>
      </c>
      <c r="C242" s="101"/>
      <c r="D242" s="87"/>
      <c r="E242" s="18">
        <f>C242*D242</f>
        <v>0</v>
      </c>
      <c r="F242" s="55"/>
      <c r="G242" s="9"/>
    </row>
    <row r="243" spans="1:7" ht="13.5" thickBot="1" x14ac:dyDescent="0.25">
      <c r="A243" s="34"/>
      <c r="B243" s="34"/>
      <c r="C243" s="34"/>
      <c r="D243" s="34"/>
      <c r="E243" s="35"/>
      <c r="F243" s="21">
        <f>SUM(E238:E242)</f>
        <v>0</v>
      </c>
      <c r="G243" s="9"/>
    </row>
    <row r="244" spans="1:7" ht="11.25" customHeight="1" thickBot="1" x14ac:dyDescent="0.25">
      <c r="G244" s="9"/>
    </row>
    <row r="245" spans="1:7" ht="13.5" thickBot="1" x14ac:dyDescent="0.25">
      <c r="A245" s="24" t="s">
        <v>231</v>
      </c>
      <c r="B245" s="25"/>
      <c r="C245" s="25"/>
      <c r="D245" s="26"/>
      <c r="E245" s="27"/>
      <c r="F245" s="21">
        <f>+F243</f>
        <v>0</v>
      </c>
      <c r="G245" s="9"/>
    </row>
    <row r="246" spans="1:7" ht="11.25" customHeight="1" x14ac:dyDescent="0.2">
      <c r="G246" s="9"/>
    </row>
    <row r="247" spans="1:7" x14ac:dyDescent="0.2">
      <c r="A247" s="34" t="s">
        <v>76</v>
      </c>
      <c r="B247" s="34"/>
      <c r="C247" s="34"/>
      <c r="D247" s="35"/>
      <c r="E247" s="35"/>
      <c r="F247" s="33"/>
    </row>
    <row r="248" spans="1:7" ht="11.25" customHeight="1" thickBot="1" x14ac:dyDescent="0.25"/>
    <row r="249" spans="1:7" ht="13.5" thickBot="1" x14ac:dyDescent="0.25">
      <c r="A249" s="60" t="s">
        <v>64</v>
      </c>
      <c r="B249" s="61" t="s">
        <v>65</v>
      </c>
      <c r="C249" s="61" t="s">
        <v>40</v>
      </c>
      <c r="D249" s="62" t="s">
        <v>242</v>
      </c>
      <c r="E249" s="62" t="s">
        <v>66</v>
      </c>
      <c r="F249" s="63" t="s">
        <v>67</v>
      </c>
    </row>
    <row r="250" spans="1:7" x14ac:dyDescent="0.2">
      <c r="A250" s="16" t="s">
        <v>228</v>
      </c>
      <c r="B250" s="53" t="s">
        <v>58</v>
      </c>
      <c r="C250" s="69">
        <f>C162</f>
        <v>1</v>
      </c>
      <c r="D250" s="89">
        <v>70</v>
      </c>
      <c r="E250" s="18">
        <f>+D250*C250</f>
        <v>70</v>
      </c>
      <c r="F250" s="55"/>
    </row>
    <row r="251" spans="1:7" x14ac:dyDescent="0.2">
      <c r="A251" s="16" t="s">
        <v>61</v>
      </c>
      <c r="B251" s="53" t="s">
        <v>8</v>
      </c>
      <c r="C251" s="155">
        <v>60</v>
      </c>
      <c r="D251" s="80">
        <f>SUM(E250:E250)</f>
        <v>70</v>
      </c>
      <c r="E251" s="80">
        <f>+D251/C251</f>
        <v>1.1666666666666667</v>
      </c>
      <c r="F251" s="55"/>
    </row>
    <row r="252" spans="1:7" x14ac:dyDescent="0.2">
      <c r="A252" s="16" t="s">
        <v>229</v>
      </c>
      <c r="B252" s="17" t="s">
        <v>10</v>
      </c>
      <c r="C252" s="69">
        <f>+C250</f>
        <v>1</v>
      </c>
      <c r="D252" s="89">
        <v>80</v>
      </c>
      <c r="E252" s="18">
        <f>C252*D252</f>
        <v>80</v>
      </c>
      <c r="F252" s="55"/>
    </row>
    <row r="253" spans="1:7" ht="13.5" thickBot="1" x14ac:dyDescent="0.25">
      <c r="A253" s="16" t="s">
        <v>37</v>
      </c>
      <c r="B253" s="53" t="s">
        <v>8</v>
      </c>
      <c r="C253" s="155">
        <v>1</v>
      </c>
      <c r="D253" s="80">
        <f>+E252</f>
        <v>80</v>
      </c>
      <c r="E253" s="80">
        <f>+D253/C253</f>
        <v>80</v>
      </c>
      <c r="F253" s="55"/>
    </row>
    <row r="254" spans="1:7" ht="13.5" thickBot="1" x14ac:dyDescent="0.25">
      <c r="A254" s="81"/>
      <c r="B254" s="81"/>
      <c r="C254" s="81"/>
      <c r="D254" s="124" t="s">
        <v>202</v>
      </c>
      <c r="E254" s="50">
        <f>$B$42</f>
        <v>0.25</v>
      </c>
      <c r="F254" s="82">
        <f>(E251+E253)*E254</f>
        <v>20.291666666666668</v>
      </c>
    </row>
    <row r="255" spans="1:7" s="51" customFormat="1" ht="11.25" customHeight="1" thickBot="1" x14ac:dyDescent="0.25">
      <c r="A255" s="9"/>
      <c r="B255" s="9"/>
      <c r="C255" s="9"/>
      <c r="D255" s="10"/>
      <c r="E255" s="10"/>
      <c r="F255" s="10"/>
      <c r="G255" s="84"/>
    </row>
    <row r="256" spans="1:7" ht="13.5" thickBot="1" x14ac:dyDescent="0.25">
      <c r="A256" s="24" t="s">
        <v>227</v>
      </c>
      <c r="B256" s="25"/>
      <c r="C256" s="25"/>
      <c r="D256" s="26"/>
      <c r="E256" s="27"/>
      <c r="F256" s="21">
        <f>+F254</f>
        <v>20.291666666666668</v>
      </c>
    </row>
    <row r="257" spans="1:7" ht="11.25" customHeight="1" thickBot="1" x14ac:dyDescent="0.25"/>
    <row r="258" spans="1:7" ht="17.25" customHeight="1" thickBot="1" x14ac:dyDescent="0.25">
      <c r="A258" s="24" t="s">
        <v>232</v>
      </c>
      <c r="B258" s="28"/>
      <c r="C258" s="28"/>
      <c r="D258" s="29"/>
      <c r="E258" s="30"/>
      <c r="F258" s="22">
        <f>+F120+F154+F233+F245+F256</f>
        <v>5112.804735022507</v>
      </c>
    </row>
    <row r="259" spans="1:7" ht="11.25" customHeight="1" x14ac:dyDescent="0.2"/>
    <row r="260" spans="1:7" x14ac:dyDescent="0.2">
      <c r="A260" s="11" t="s">
        <v>91</v>
      </c>
    </row>
    <row r="261" spans="1:7" ht="11.25" customHeight="1" thickBot="1" x14ac:dyDescent="0.25"/>
    <row r="262" spans="1:7" ht="13.5" thickBot="1" x14ac:dyDescent="0.25">
      <c r="A262" s="60" t="s">
        <v>64</v>
      </c>
      <c r="B262" s="61" t="s">
        <v>65</v>
      </c>
      <c r="C262" s="61" t="s">
        <v>40</v>
      </c>
      <c r="D262" s="62" t="s">
        <v>242</v>
      </c>
      <c r="E262" s="62" t="s">
        <v>66</v>
      </c>
      <c r="F262" s="63" t="s">
        <v>67</v>
      </c>
    </row>
    <row r="263" spans="1:7" ht="13.5" thickBot="1" x14ac:dyDescent="0.25">
      <c r="A263" s="13" t="s">
        <v>36</v>
      </c>
      <c r="B263" s="14" t="s">
        <v>2</v>
      </c>
      <c r="C263" s="141">
        <f>'4.BDI'!C20*100</f>
        <v>27.87</v>
      </c>
      <c r="D263" s="15">
        <f>+F258</f>
        <v>5112.804735022507</v>
      </c>
      <c r="E263" s="15">
        <f>C263*D263/100</f>
        <v>1424.9386796507729</v>
      </c>
    </row>
    <row r="264" spans="1:7" ht="13.5" thickBot="1" x14ac:dyDescent="0.25">
      <c r="F264" s="21">
        <f>+E263</f>
        <v>1424.9386796507729</v>
      </c>
    </row>
    <row r="265" spans="1:7" ht="11.25" customHeight="1" thickBot="1" x14ac:dyDescent="0.25"/>
    <row r="266" spans="1:7" ht="13.5" thickBot="1" x14ac:dyDescent="0.25">
      <c r="A266" s="24" t="s">
        <v>247</v>
      </c>
      <c r="B266" s="28"/>
      <c r="C266" s="28"/>
      <c r="D266" s="29"/>
      <c r="E266" s="30"/>
      <c r="F266" s="22">
        <f>F264</f>
        <v>1424.9386796507729</v>
      </c>
    </row>
    <row r="267" spans="1:7" x14ac:dyDescent="0.2">
      <c r="A267" s="34"/>
      <c r="B267" s="34"/>
      <c r="C267" s="34"/>
      <c r="D267" s="35"/>
      <c r="E267" s="35"/>
      <c r="F267" s="33"/>
    </row>
    <row r="268" spans="1:7" ht="11.25" customHeight="1" thickBot="1" x14ac:dyDescent="0.25"/>
    <row r="269" spans="1:7" ht="24.75" customHeight="1" thickBot="1" x14ac:dyDescent="0.25">
      <c r="A269" s="24" t="s">
        <v>233</v>
      </c>
      <c r="B269" s="28"/>
      <c r="C269" s="28"/>
      <c r="D269" s="29"/>
      <c r="E269" s="30"/>
      <c r="F269" s="22">
        <f>F258+F266</f>
        <v>6537.7434146732794</v>
      </c>
    </row>
    <row r="270" spans="1:7" ht="12.6" customHeight="1" x14ac:dyDescent="0.2">
      <c r="A270" s="56"/>
      <c r="B270" s="56"/>
      <c r="C270" s="56"/>
      <c r="D270" s="57"/>
      <c r="E270" s="57"/>
      <c r="F270" s="57"/>
    </row>
    <row r="271" spans="1:7" ht="14.25" x14ac:dyDescent="0.2">
      <c r="A271" s="8"/>
      <c r="B271" s="8"/>
      <c r="C271" s="8"/>
      <c r="D271" s="36"/>
      <c r="E271" s="36"/>
    </row>
    <row r="272" spans="1:7" ht="16.149999999999999" customHeight="1" x14ac:dyDescent="0.2">
      <c r="A272" s="252" t="s">
        <v>226</v>
      </c>
      <c r="B272" s="253"/>
      <c r="C272" s="253"/>
      <c r="D272" s="254">
        <v>2494.5</v>
      </c>
      <c r="E272" s="313" t="s">
        <v>307</v>
      </c>
      <c r="G272" s="10" t="s">
        <v>212</v>
      </c>
    </row>
    <row r="273" spans="1:7" ht="13.5" thickBot="1" x14ac:dyDescent="0.25"/>
    <row r="274" spans="1:7" ht="25.5" customHeight="1" thickBot="1" x14ac:dyDescent="0.25">
      <c r="A274" s="24" t="s">
        <v>306</v>
      </c>
      <c r="B274" s="25"/>
      <c r="C274" s="25"/>
      <c r="D274" s="26"/>
      <c r="E274" s="255" t="s">
        <v>308</v>
      </c>
      <c r="F274" s="256">
        <f>IFERROR(F269/D272,"-")</f>
        <v>2.6208632650524271</v>
      </c>
      <c r="G274" s="10" t="s">
        <v>212</v>
      </c>
    </row>
    <row r="275" spans="1:7" ht="12.6" customHeight="1" x14ac:dyDescent="0.2">
      <c r="A275" s="34"/>
      <c r="B275" s="34"/>
      <c r="C275" s="34"/>
      <c r="D275" s="35"/>
      <c r="E275" s="35"/>
      <c r="F275" s="35"/>
    </row>
    <row r="276" spans="1:7" s="4" customFormat="1" ht="9.75" customHeight="1" x14ac:dyDescent="0.2">
      <c r="A276" s="39"/>
      <c r="B276" s="10"/>
      <c r="C276" s="10"/>
      <c r="D276" s="10"/>
      <c r="E276" s="10"/>
      <c r="F276" s="10"/>
      <c r="G276" s="6"/>
    </row>
    <row r="277" spans="1:7" s="4" customFormat="1" ht="9.75" customHeight="1" x14ac:dyDescent="0.2">
      <c r="A277" s="39"/>
      <c r="B277" s="10"/>
      <c r="C277" s="10"/>
      <c r="D277" s="10"/>
      <c r="E277" s="10"/>
      <c r="F277" s="10"/>
      <c r="G277" s="6"/>
    </row>
    <row r="278" spans="1:7" s="4" customFormat="1" ht="9.75" customHeight="1" x14ac:dyDescent="0.2">
      <c r="A278" s="314" t="s">
        <v>311</v>
      </c>
      <c r="B278" s="315"/>
      <c r="C278" s="315"/>
      <c r="D278" s="315"/>
      <c r="E278" s="315"/>
      <c r="F278" s="315"/>
      <c r="G278" s="6"/>
    </row>
    <row r="308" spans="4:7" ht="9" customHeight="1" x14ac:dyDescent="0.2">
      <c r="D308" s="9"/>
      <c r="E308" s="9"/>
      <c r="F308" s="9"/>
      <c r="G308" s="9"/>
    </row>
  </sheetData>
  <mergeCells count="8">
    <mergeCell ref="A278:F278"/>
    <mergeCell ref="A38:D38"/>
    <mergeCell ref="A15:C15"/>
    <mergeCell ref="A2:F2"/>
    <mergeCell ref="A3:F3"/>
    <mergeCell ref="A31:D31"/>
    <mergeCell ref="A5:F5"/>
    <mergeCell ref="A30:E30"/>
  </mergeCells>
  <phoneticPr fontId="9" type="noConversion"/>
  <hyperlinks>
    <hyperlink ref="A176" location="AbaRemun" display="3.1.2. Remuneração do Capital"/>
    <hyperlink ref="A160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3" max="5" man="1"/>
    <brk id="99" max="5" man="1"/>
    <brk id="155" max="5" man="1"/>
    <brk id="22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210</v>
      </c>
    </row>
    <row r="2" spans="1:12" x14ac:dyDescent="0.2">
      <c r="A2" s="140" t="s">
        <v>253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303" t="s">
        <v>296</v>
      </c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303" t="s">
        <v>293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2" t="s">
        <v>236</v>
      </c>
      <c r="B7" s="333"/>
      <c r="C7" s="334"/>
      <c r="D7" s="150"/>
      <c r="E7" s="150"/>
      <c r="F7" s="150"/>
    </row>
    <row r="8" spans="1:12" ht="14.25" x14ac:dyDescent="0.2">
      <c r="A8" s="169" t="s">
        <v>148</v>
      </c>
      <c r="B8" s="170" t="s">
        <v>149</v>
      </c>
      <c r="C8" s="171" t="s">
        <v>150</v>
      </c>
      <c r="D8" s="172"/>
    </row>
    <row r="9" spans="1:12" ht="14.25" x14ac:dyDescent="0.2">
      <c r="A9" s="169" t="s">
        <v>151</v>
      </c>
      <c r="B9" s="170" t="s">
        <v>41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152</v>
      </c>
      <c r="B10" s="170" t="s">
        <v>153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154</v>
      </c>
      <c r="B11" s="170" t="s">
        <v>155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156</v>
      </c>
      <c r="B12" s="170" t="s">
        <v>157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158</v>
      </c>
      <c r="B13" s="170" t="s">
        <v>159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160</v>
      </c>
      <c r="B14" s="170" t="s">
        <v>161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162</v>
      </c>
      <c r="B15" s="170" t="s">
        <v>163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164</v>
      </c>
      <c r="B16" s="170" t="s">
        <v>42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165</v>
      </c>
      <c r="B17" s="175" t="s">
        <v>166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167</v>
      </c>
      <c r="B19" s="180" t="s">
        <v>168</v>
      </c>
      <c r="C19" s="173">
        <f>ROUND(IF('3.CAGED'!C28&gt;24,(1-12/'3.CAGED'!C28)*0.1111,0.1111-C28),4)</f>
        <v>6.1899999999999997E-2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169</v>
      </c>
      <c r="B20" s="180" t="s">
        <v>170</v>
      </c>
      <c r="C20" s="173">
        <f>ROUND('3.CAGED'!C32/'3.CAGED'!C29,4)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225</v>
      </c>
      <c r="B21" s="180" t="s">
        <v>172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171</v>
      </c>
      <c r="B22" s="180" t="s">
        <v>174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173</v>
      </c>
      <c r="B23" s="180" t="s">
        <v>176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175</v>
      </c>
      <c r="B24" s="180" t="s">
        <v>177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178</v>
      </c>
      <c r="B25" s="175" t="s">
        <v>179</v>
      </c>
      <c r="C25" s="176">
        <f>SUM(C19:C24)</f>
        <v>0.17369999999999999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180</v>
      </c>
      <c r="B27" s="170" t="s">
        <v>181</v>
      </c>
      <c r="C27" s="173">
        <f>ROUND(('3.CAGED'!C33) *'3.CAGED'!C26/'3.CAGED'!C29,4)</f>
        <v>2.5600000000000001E-2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224</v>
      </c>
      <c r="B28" s="170" t="s">
        <v>183</v>
      </c>
      <c r="C28" s="173">
        <f>ROUND(IF('3.CAGED'!C28&gt;12,12/'3.CAGED'!C28*0.1111,0.1111),4)</f>
        <v>4.9200000000000001E-2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182</v>
      </c>
      <c r="B29" s="170" t="s">
        <v>185</v>
      </c>
      <c r="C29" s="173">
        <f>C27*C28</f>
        <v>1.2595200000000001E-3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184</v>
      </c>
      <c r="B30" s="170" t="s">
        <v>187</v>
      </c>
      <c r="C30" s="173">
        <f>ROUND(('3.CAGED'!C29+'3.CAGED'!C30+'3.CAGED'!C32)/'3.CAGED'!C27*'3.CAGED'!C34*'3.CAGED'!C35*'3.CAGED'!C26/'3.CAGED'!C29,4)</f>
        <v>2.0500000000000001E-2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186</v>
      </c>
      <c r="B31" s="170" t="s">
        <v>188</v>
      </c>
      <c r="C31" s="173">
        <f>ROUND(('3.CAGED'!C31/'3.CAGED'!C29)*'3.CAGED'!C26/12,4)</f>
        <v>1.8E-3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189</v>
      </c>
      <c r="B32" s="175" t="s">
        <v>190</v>
      </c>
      <c r="C32" s="176">
        <f>SUM(C27:C31)</f>
        <v>9.8359520000000006E-2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191</v>
      </c>
      <c r="B34" s="170" t="s">
        <v>192</v>
      </c>
      <c r="C34" s="173">
        <f>ROUND(C17*C25,4)</f>
        <v>6.3899999999999998E-2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193</v>
      </c>
      <c r="B35" s="185" t="s">
        <v>292</v>
      </c>
      <c r="C35" s="173">
        <f>ROUND((C27*C16),4)</f>
        <v>2E-3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194</v>
      </c>
      <c r="B36" s="175" t="s">
        <v>195</v>
      </c>
      <c r="C36" s="176">
        <f>SUM(C34:C35)</f>
        <v>6.59E-2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196</v>
      </c>
      <c r="C37" s="189">
        <f>C36+C32+C25+C17</f>
        <v>0.70595951999999995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zoomScaleNormal="100" workbookViewId="0">
      <selection activeCell="E19" sqref="E1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248</v>
      </c>
    </row>
    <row r="3" spans="1:3" x14ac:dyDescent="0.2">
      <c r="A3" s="305" t="s">
        <v>304</v>
      </c>
    </row>
    <row r="5" spans="1:3" x14ac:dyDescent="0.2">
      <c r="A5" s="305" t="s">
        <v>303</v>
      </c>
    </row>
    <row r="6" spans="1:3" ht="13.5" thickBot="1" x14ac:dyDescent="0.25"/>
    <row r="7" spans="1:3" ht="18" x14ac:dyDescent="0.25">
      <c r="B7" s="335" t="s">
        <v>234</v>
      </c>
      <c r="C7" s="336"/>
    </row>
    <row r="8" spans="1:3" ht="15" x14ac:dyDescent="0.25">
      <c r="A8" s="158"/>
      <c r="B8" s="157" t="s">
        <v>213</v>
      </c>
      <c r="C8" s="203"/>
    </row>
    <row r="9" spans="1:3" ht="15" x14ac:dyDescent="0.25">
      <c r="A9" s="158"/>
      <c r="B9" s="159" t="s">
        <v>132</v>
      </c>
      <c r="C9" s="160">
        <v>2100</v>
      </c>
    </row>
    <row r="10" spans="1:3" ht="15" x14ac:dyDescent="0.25">
      <c r="A10" s="158"/>
      <c r="B10" s="161" t="s">
        <v>133</v>
      </c>
      <c r="C10" s="160">
        <v>2031</v>
      </c>
    </row>
    <row r="11" spans="1:3" ht="14.25" x14ac:dyDescent="0.2">
      <c r="A11" s="158"/>
      <c r="B11" s="204" t="s">
        <v>134</v>
      </c>
      <c r="C11" s="205">
        <v>44</v>
      </c>
    </row>
    <row r="12" spans="1:3" ht="14.25" x14ac:dyDescent="0.2">
      <c r="A12" s="158"/>
      <c r="B12" s="204" t="s">
        <v>135</v>
      </c>
      <c r="C12" s="205">
        <v>1192</v>
      </c>
    </row>
    <row r="13" spans="1:3" ht="14.25" x14ac:dyDescent="0.2">
      <c r="A13" s="158"/>
      <c r="B13" s="204" t="s">
        <v>136</v>
      </c>
      <c r="C13" s="205">
        <v>372</v>
      </c>
    </row>
    <row r="14" spans="1:3" ht="14.25" x14ac:dyDescent="0.2">
      <c r="A14" s="158"/>
      <c r="B14" s="204" t="s">
        <v>137</v>
      </c>
      <c r="C14" s="205">
        <v>22</v>
      </c>
    </row>
    <row r="15" spans="1:3" ht="14.25" x14ac:dyDescent="0.2">
      <c r="A15" s="158"/>
      <c r="B15" s="204" t="s">
        <v>138</v>
      </c>
      <c r="C15" s="205">
        <v>350</v>
      </c>
    </row>
    <row r="16" spans="1:3" ht="14.25" x14ac:dyDescent="0.2">
      <c r="A16" s="158"/>
      <c r="B16" s="204" t="s">
        <v>139</v>
      </c>
      <c r="C16" s="205">
        <v>1</v>
      </c>
    </row>
    <row r="17" spans="1:5" ht="14.25" x14ac:dyDescent="0.2">
      <c r="A17" s="158"/>
      <c r="B17" s="204" t="s">
        <v>140</v>
      </c>
      <c r="C17" s="205">
        <v>30</v>
      </c>
    </row>
    <row r="18" spans="1:5" ht="14.25" x14ac:dyDescent="0.2">
      <c r="A18" s="158"/>
      <c r="B18" s="206" t="s">
        <v>141</v>
      </c>
      <c r="C18" s="207">
        <v>0</v>
      </c>
    </row>
    <row r="19" spans="1:5" ht="14.25" x14ac:dyDescent="0.2">
      <c r="A19" s="158"/>
      <c r="B19" s="311" t="s">
        <v>299</v>
      </c>
      <c r="C19" s="207">
        <v>0</v>
      </c>
    </row>
    <row r="20" spans="1:5" ht="15" x14ac:dyDescent="0.25">
      <c r="A20" s="158" t="s">
        <v>142</v>
      </c>
      <c r="B20" s="157" t="s">
        <v>143</v>
      </c>
      <c r="C20" s="203"/>
    </row>
    <row r="21" spans="1:5" ht="14.25" x14ac:dyDescent="0.2">
      <c r="A21" s="158"/>
      <c r="B21" s="208" t="s">
        <v>301</v>
      </c>
      <c r="C21" s="209">
        <v>4625</v>
      </c>
    </row>
    <row r="22" spans="1:5" ht="14.25" x14ac:dyDescent="0.2">
      <c r="A22" s="158"/>
      <c r="B22" s="204" t="s">
        <v>302</v>
      </c>
      <c r="C22" s="205">
        <v>4694</v>
      </c>
    </row>
    <row r="23" spans="1:5" ht="14.25" x14ac:dyDescent="0.2">
      <c r="B23" s="204" t="s">
        <v>300</v>
      </c>
      <c r="C23" s="304">
        <f>C9-C10</f>
        <v>69</v>
      </c>
    </row>
    <row r="24" spans="1:5" ht="14.25" x14ac:dyDescent="0.2">
      <c r="B24" s="210"/>
      <c r="C24" s="211"/>
    </row>
    <row r="25" spans="1:5" s="108" customFormat="1" ht="15" x14ac:dyDescent="0.25">
      <c r="B25" s="159" t="s">
        <v>145</v>
      </c>
      <c r="C25" s="212">
        <f>MEDIAN(C21,C22)</f>
        <v>4659.5</v>
      </c>
    </row>
    <row r="26" spans="1:5" ht="15" x14ac:dyDescent="0.25">
      <c r="B26" s="161" t="s">
        <v>297</v>
      </c>
      <c r="C26" s="309">
        <f>C12/C25</f>
        <v>0.25582144006867691</v>
      </c>
    </row>
    <row r="27" spans="1:5" ht="15" x14ac:dyDescent="0.25">
      <c r="B27" s="161" t="s">
        <v>298</v>
      </c>
      <c r="C27" s="309">
        <f>MEDIAN(C9,C10)/C25</f>
        <v>0.44328790642772831</v>
      </c>
      <c r="E27" s="278"/>
    </row>
    <row r="28" spans="1:5" s="108" customFormat="1" ht="15" x14ac:dyDescent="0.25">
      <c r="B28" s="161" t="s">
        <v>254</v>
      </c>
      <c r="C28" s="307">
        <f>12/C27</f>
        <v>27.070442992011618</v>
      </c>
    </row>
    <row r="29" spans="1:5" ht="15" x14ac:dyDescent="0.25">
      <c r="B29" s="161" t="s">
        <v>144</v>
      </c>
      <c r="C29" s="163">
        <v>360</v>
      </c>
    </row>
    <row r="30" spans="1:5" ht="15" x14ac:dyDescent="0.25">
      <c r="B30" s="161" t="s">
        <v>249</v>
      </c>
      <c r="C30" s="163">
        <v>10</v>
      </c>
    </row>
    <row r="31" spans="1:5" ht="15" x14ac:dyDescent="0.25">
      <c r="B31" s="159" t="s">
        <v>250</v>
      </c>
      <c r="C31" s="162">
        <v>30</v>
      </c>
    </row>
    <row r="32" spans="1:5" ht="15" x14ac:dyDescent="0.25">
      <c r="B32" s="159" t="s">
        <v>251</v>
      </c>
      <c r="C32" s="162">
        <v>30</v>
      </c>
    </row>
    <row r="33" spans="2:4" s="108" customFormat="1" ht="15" x14ac:dyDescent="0.25">
      <c r="B33" s="159" t="s">
        <v>147</v>
      </c>
      <c r="C33" s="162">
        <f>30+(3*TRUNC(1/C27))</f>
        <v>36</v>
      </c>
    </row>
    <row r="34" spans="2:4" s="108" customFormat="1" ht="15" x14ac:dyDescent="0.25">
      <c r="B34" s="161" t="s">
        <v>42</v>
      </c>
      <c r="C34" s="308">
        <v>0.08</v>
      </c>
    </row>
    <row r="35" spans="2:4" s="108" customFormat="1" ht="15.75" thickBot="1" x14ac:dyDescent="0.3">
      <c r="B35" s="164" t="s">
        <v>146</v>
      </c>
      <c r="C35" s="310">
        <v>0.4</v>
      </c>
      <c r="D35" s="108" t="s">
        <v>305</v>
      </c>
    </row>
  </sheetData>
  <mergeCells count="1">
    <mergeCell ref="B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S10" sqref="S10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210</v>
      </c>
      <c r="B1" s="145"/>
      <c r="C1" s="145"/>
      <c r="E1" s="148"/>
    </row>
    <row r="2" spans="1:8" s="147" customFormat="1" ht="14.25" x14ac:dyDescent="0.2">
      <c r="A2" s="140" t="s">
        <v>255</v>
      </c>
      <c r="B2" s="145"/>
      <c r="C2" s="145"/>
      <c r="E2" s="148"/>
    </row>
    <row r="3" spans="1:8" s="147" customFormat="1" ht="14.25" x14ac:dyDescent="0.2">
      <c r="A3" s="9" t="s">
        <v>211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303" t="s">
        <v>296</v>
      </c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303" t="s">
        <v>293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2" t="s">
        <v>235</v>
      </c>
      <c r="B8" s="343"/>
      <c r="C8" s="343"/>
      <c r="D8" s="343"/>
      <c r="E8" s="343"/>
      <c r="F8" s="344"/>
    </row>
    <row r="9" spans="1:8" ht="16.5" thickBot="1" x14ac:dyDescent="0.25">
      <c r="A9" s="263"/>
      <c r="B9" s="264"/>
      <c r="C9" s="264"/>
      <c r="D9" s="264"/>
      <c r="E9" s="264"/>
      <c r="F9" s="265"/>
    </row>
    <row r="10" spans="1:8" ht="15" x14ac:dyDescent="0.25">
      <c r="A10" s="213"/>
      <c r="B10" s="146"/>
      <c r="C10" s="146"/>
      <c r="D10" s="339" t="s">
        <v>252</v>
      </c>
      <c r="E10" s="340"/>
      <c r="F10" s="341"/>
      <c r="G10" s="147"/>
      <c r="H10" s="147"/>
    </row>
    <row r="11" spans="1:8" ht="15" thickBot="1" x14ac:dyDescent="0.25">
      <c r="A11" s="210"/>
      <c r="B11" s="214"/>
      <c r="C11" s="214"/>
      <c r="D11" s="215" t="s">
        <v>197</v>
      </c>
      <c r="E11" s="216" t="s">
        <v>198</v>
      </c>
      <c r="F11" s="217" t="s">
        <v>199</v>
      </c>
      <c r="G11" s="147"/>
      <c r="H11" s="147"/>
    </row>
    <row r="12" spans="1:8" ht="14.25" x14ac:dyDescent="0.2">
      <c r="A12" s="218" t="s">
        <v>77</v>
      </c>
      <c r="B12" s="219" t="s">
        <v>78</v>
      </c>
      <c r="C12" s="220">
        <v>5.0799999999999998E-2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79</v>
      </c>
      <c r="B13" s="223" t="s">
        <v>80</v>
      </c>
      <c r="C13" s="224">
        <v>1.3299999999999999E-2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81</v>
      </c>
      <c r="B14" s="223" t="s">
        <v>82</v>
      </c>
      <c r="C14" s="224">
        <v>0.1085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83</v>
      </c>
      <c r="B15" s="223" t="s">
        <v>84</v>
      </c>
      <c r="C15" s="225">
        <f>(1+E15)^(E16/252)-1</f>
        <v>1.1350665919833691E-3</v>
      </c>
      <c r="D15" s="241" t="s">
        <v>288</v>
      </c>
      <c r="E15" s="226">
        <v>2.9000000000000001E-2</v>
      </c>
      <c r="F15" s="221"/>
      <c r="G15" s="147"/>
      <c r="H15" s="147"/>
    </row>
    <row r="16" spans="1:8" ht="14.25" x14ac:dyDescent="0.2">
      <c r="A16" s="222" t="s">
        <v>85</v>
      </c>
      <c r="B16" s="337" t="s">
        <v>86</v>
      </c>
      <c r="C16" s="224">
        <v>0.04</v>
      </c>
      <c r="D16" s="302" t="s">
        <v>200</v>
      </c>
      <c r="E16" s="227">
        <v>10</v>
      </c>
      <c r="F16" s="228"/>
      <c r="G16" s="147"/>
      <c r="H16" s="147"/>
    </row>
    <row r="17" spans="1:8" ht="15" thickBot="1" x14ac:dyDescent="0.25">
      <c r="A17" s="229" t="s">
        <v>87</v>
      </c>
      <c r="B17" s="338"/>
      <c r="C17" s="230">
        <v>3.6499999999999998E-2</v>
      </c>
      <c r="D17" s="204"/>
      <c r="E17" s="231"/>
      <c r="F17" s="228"/>
      <c r="G17" s="147"/>
      <c r="H17" s="147"/>
    </row>
    <row r="18" spans="1:8" ht="14.25" x14ac:dyDescent="0.2">
      <c r="A18" s="232" t="s">
        <v>88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89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90</v>
      </c>
      <c r="B20" s="239"/>
      <c r="C20" s="240">
        <f>ROUND((((1+C12+C13)*(1+C14)*(1+C15))/(1-(C16+C17))-1),4)</f>
        <v>0.2787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5" t="s">
        <v>237</v>
      </c>
      <c r="B1" s="346"/>
    </row>
    <row r="2" spans="1:2" s="108" customFormat="1" ht="19.5" customHeight="1" x14ac:dyDescent="0.2">
      <c r="A2" s="266" t="s">
        <v>214</v>
      </c>
      <c r="B2" s="267" t="s">
        <v>290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241</v>
      </c>
    </row>
    <row r="2" spans="1:1" x14ac:dyDescent="0.2">
      <c r="A2" s="247"/>
    </row>
    <row r="3" spans="1:1" x14ac:dyDescent="0.2">
      <c r="A3" s="247" t="s">
        <v>256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238</v>
      </c>
    </row>
    <row r="13" spans="1:1" ht="15" x14ac:dyDescent="0.2">
      <c r="A13" s="248" t="s">
        <v>115</v>
      </c>
    </row>
    <row r="14" spans="1:1" ht="15" x14ac:dyDescent="0.2">
      <c r="A14" s="248" t="s">
        <v>120</v>
      </c>
    </row>
    <row r="15" spans="1:1" ht="19.5" x14ac:dyDescent="0.35">
      <c r="A15" s="248" t="s">
        <v>239</v>
      </c>
    </row>
    <row r="16" spans="1:1" ht="19.5" x14ac:dyDescent="0.35">
      <c r="A16" s="248" t="s">
        <v>240</v>
      </c>
    </row>
    <row r="17" spans="1:1" ht="15.75" thickBot="1" x14ac:dyDescent="0.25">
      <c r="A17" s="249" t="s">
        <v>116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opLeftCell="A4" zoomScaleNormal="100" workbookViewId="0">
      <selection activeCell="C13" sqref="C13"/>
    </sheetView>
  </sheetViews>
  <sheetFormatPr defaultRowHeight="12.75" x14ac:dyDescent="0.2"/>
  <cols>
    <col min="1" max="1" width="58.28515625" style="278" customWidth="1"/>
    <col min="2" max="2" width="11.140625" style="278" bestFit="1" customWidth="1"/>
    <col min="3" max="3" width="11.28515625" style="278" bestFit="1" customWidth="1"/>
    <col min="4" max="16384" width="9.140625" style="278"/>
  </cols>
  <sheetData>
    <row r="1" spans="1:7" x14ac:dyDescent="0.2">
      <c r="A1" s="11" t="s">
        <v>210</v>
      </c>
    </row>
    <row r="2" spans="1:7" x14ac:dyDescent="0.2">
      <c r="A2" s="283" t="s">
        <v>265</v>
      </c>
    </row>
    <row r="3" spans="1:7" x14ac:dyDescent="0.2">
      <c r="A3" s="283" t="s">
        <v>291</v>
      </c>
    </row>
    <row r="4" spans="1:7" x14ac:dyDescent="0.2">
      <c r="A4" s="7" t="s">
        <v>289</v>
      </c>
    </row>
    <row r="5" spans="1:7" x14ac:dyDescent="0.2">
      <c r="A5" s="7"/>
    </row>
    <row r="6" spans="1:7" s="4" customFormat="1" ht="15.6" customHeight="1" x14ac:dyDescent="0.2">
      <c r="A6" s="303" t="s">
        <v>296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303" t="s">
        <v>293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7" t="s">
        <v>285</v>
      </c>
      <c r="B9" s="348"/>
      <c r="C9" s="349"/>
    </row>
    <row r="10" spans="1:7" s="284" customFormat="1" ht="18" x14ac:dyDescent="0.25">
      <c r="A10" s="299"/>
      <c r="B10" s="298"/>
      <c r="C10" s="300"/>
    </row>
    <row r="11" spans="1:7" s="108" customFormat="1" ht="15" x14ac:dyDescent="0.25">
      <c r="A11" s="285" t="s">
        <v>286</v>
      </c>
      <c r="B11" s="286" t="s">
        <v>266</v>
      </c>
      <c r="C11" s="287" t="s">
        <v>150</v>
      </c>
    </row>
    <row r="12" spans="1:7" ht="14.25" x14ac:dyDescent="0.2">
      <c r="A12" s="288" t="s">
        <v>274</v>
      </c>
      <c r="B12" s="289" t="s">
        <v>267</v>
      </c>
      <c r="C12" s="205">
        <v>8000</v>
      </c>
    </row>
    <row r="13" spans="1:7" ht="14.25" x14ac:dyDescent="0.2">
      <c r="A13" s="204" t="s">
        <v>275</v>
      </c>
      <c r="B13" s="290" t="s">
        <v>272</v>
      </c>
      <c r="C13" s="291">
        <f>0.0362741*C12^0.2336249</f>
        <v>0.29611175877512574</v>
      </c>
    </row>
    <row r="14" spans="1:7" ht="14.25" x14ac:dyDescent="0.2">
      <c r="A14" s="204" t="s">
        <v>276</v>
      </c>
      <c r="B14" s="290" t="s">
        <v>273</v>
      </c>
      <c r="C14" s="292">
        <f>C12*C13/1000</f>
        <v>2.368894070201006</v>
      </c>
    </row>
    <row r="15" spans="1:7" ht="14.25" x14ac:dyDescent="0.2">
      <c r="A15" s="204" t="s">
        <v>282</v>
      </c>
      <c r="B15" s="290" t="s">
        <v>268</v>
      </c>
      <c r="C15" s="293">
        <f>(C14*30)</f>
        <v>71.066822106030173</v>
      </c>
    </row>
    <row r="16" spans="1:7" ht="14.25" x14ac:dyDescent="0.2">
      <c r="A16" s="204" t="s">
        <v>278</v>
      </c>
      <c r="B16" s="290" t="s">
        <v>95</v>
      </c>
      <c r="C16" s="296">
        <v>2</v>
      </c>
    </row>
    <row r="17" spans="1:3" ht="14.25" x14ac:dyDescent="0.2">
      <c r="A17" s="204" t="s">
        <v>277</v>
      </c>
      <c r="B17" s="290" t="s">
        <v>273</v>
      </c>
      <c r="C17" s="292">
        <f>IFERROR(C14*7/C16,0)</f>
        <v>8.2911292457035213</v>
      </c>
    </row>
    <row r="18" spans="1:3" ht="14.25" x14ac:dyDescent="0.2">
      <c r="A18" s="288" t="s">
        <v>269</v>
      </c>
      <c r="B18" s="290" t="s">
        <v>270</v>
      </c>
      <c r="C18" s="228">
        <v>500</v>
      </c>
    </row>
    <row r="19" spans="1:3" ht="14.25" x14ac:dyDescent="0.2">
      <c r="A19" s="204" t="s">
        <v>283</v>
      </c>
      <c r="B19" s="290"/>
      <c r="C19" s="205">
        <v>1</v>
      </c>
    </row>
    <row r="20" spans="1:3" ht="14.25" x14ac:dyDescent="0.2">
      <c r="A20" s="288" t="s">
        <v>284</v>
      </c>
      <c r="B20" s="290" t="s">
        <v>271</v>
      </c>
      <c r="C20" s="205">
        <v>12</v>
      </c>
    </row>
    <row r="21" spans="1:3" ht="14.25" x14ac:dyDescent="0.2">
      <c r="A21" s="204" t="s">
        <v>279</v>
      </c>
      <c r="B21" s="290" t="s">
        <v>268</v>
      </c>
      <c r="C21" s="228">
        <f>IF(AND(C20&gt;=15,C19=1),5.8,C20/2)</f>
        <v>6</v>
      </c>
    </row>
    <row r="22" spans="1:3" ht="14.25" x14ac:dyDescent="0.2">
      <c r="A22" s="288" t="s">
        <v>280</v>
      </c>
      <c r="B22" s="290"/>
      <c r="C22" s="292">
        <f>IFERROR(C17/C21,0)</f>
        <v>1.3818548742839203</v>
      </c>
    </row>
    <row r="23" spans="1:3" ht="14.25" x14ac:dyDescent="0.2">
      <c r="A23" s="288" t="s">
        <v>287</v>
      </c>
      <c r="B23" s="290"/>
      <c r="C23" s="301">
        <v>1</v>
      </c>
    </row>
    <row r="24" spans="1:3" ht="15" thickBot="1" x14ac:dyDescent="0.25">
      <c r="A24" s="294" t="s">
        <v>281</v>
      </c>
      <c r="B24" s="295"/>
      <c r="C24" s="297">
        <f>IFERROR(C22/C23,0)</f>
        <v>1.3818548742839203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LIC03</cp:lastModifiedBy>
  <cp:lastPrinted>2021-08-24T16:42:10Z</cp:lastPrinted>
  <dcterms:created xsi:type="dcterms:W3CDTF">2000-12-13T10:02:50Z</dcterms:created>
  <dcterms:modified xsi:type="dcterms:W3CDTF">2021-12-02T11:17:21Z</dcterms:modified>
</cp:coreProperties>
</file>